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720" windowHeight="3345" activeTab="0"/>
  </bookViews>
  <sheets>
    <sheet name="Character Record" sheetId="1" r:id="rId1"/>
    <sheet name="Magic Record" sheetId="2" r:id="rId2"/>
    <sheet name="Magic Items" sheetId="3" r:id="rId3"/>
  </sheets>
  <definedNames>
    <definedName name="_xlnm.Print_Area" localSheetId="0">'Character Record'!$A$1:$R$53</definedName>
    <definedName name="_xlnm.Print_Area" localSheetId="2">'Magic Items'!$A$1:$J$48</definedName>
    <definedName name="_xlnm.Print_Area" localSheetId="1">'Magic Record'!$A$1:$J$48</definedName>
  </definedNames>
  <calcPr fullCalcOnLoad="1"/>
</workbook>
</file>

<file path=xl/sharedStrings.xml><?xml version="1.0" encoding="utf-8"?>
<sst xmlns="http://schemas.openxmlformats.org/spreadsheetml/2006/main" count="288" uniqueCount="210">
  <si>
    <t>Dragon Quest</t>
  </si>
  <si>
    <t>PRIMARY CHARACTERISTICS</t>
  </si>
  <si>
    <t xml:space="preserve">                    CHARACTER RECORD</t>
  </si>
  <si>
    <t>PS</t>
  </si>
  <si>
    <t>MD</t>
  </si>
  <si>
    <t>AG</t>
  </si>
  <si>
    <t>MA</t>
  </si>
  <si>
    <t>WP</t>
  </si>
  <si>
    <t>EN</t>
  </si>
  <si>
    <t>Total primary characteristics</t>
  </si>
  <si>
    <t>CHARACTER NAME:</t>
  </si>
  <si>
    <t>PC</t>
  </si>
  <si>
    <t>TMR</t>
  </si>
  <si>
    <t>PB</t>
  </si>
  <si>
    <t>DEF</t>
  </si>
  <si>
    <t>FT</t>
  </si>
  <si>
    <t>RACE:</t>
  </si>
  <si>
    <t>SEX:</t>
  </si>
  <si>
    <t>ASPECT:</t>
  </si>
  <si>
    <t>STATUS:</t>
  </si>
  <si>
    <t>BIRTH:</t>
  </si>
  <si>
    <t>HAND:</t>
  </si>
  <si>
    <t>RANK</t>
  </si>
  <si>
    <t>WEAPON</t>
  </si>
  <si>
    <t>WGT</t>
  </si>
  <si>
    <t>BASE %</t>
  </si>
  <si>
    <t>IV</t>
  </si>
  <si>
    <t>SC</t>
  </si>
  <si>
    <t>DM</t>
  </si>
  <si>
    <t>CL</t>
  </si>
  <si>
    <t>RG</t>
  </si>
  <si>
    <t>USE</t>
  </si>
  <si>
    <t>ARMOR</t>
  </si>
  <si>
    <t>STH</t>
  </si>
  <si>
    <t>PRO</t>
  </si>
  <si>
    <t>SHIELD</t>
  </si>
  <si>
    <t>RK</t>
  </si>
  <si>
    <t>%</t>
  </si>
  <si>
    <t>COLLEGE:</t>
  </si>
  <si>
    <t>MAGIC RESISTANCE:</t>
  </si>
  <si>
    <t>Experience spent</t>
  </si>
  <si>
    <t>SKILLS</t>
  </si>
  <si>
    <t>ABILITY</t>
  </si>
  <si>
    <t>EFFECT</t>
  </si>
  <si>
    <t>POSSESSIONS</t>
  </si>
  <si>
    <t>WEIGHT</t>
  </si>
  <si>
    <t>creating character</t>
  </si>
  <si>
    <t>Horsemanship</t>
  </si>
  <si>
    <t>Stealth</t>
  </si>
  <si>
    <t>SPECIAL ABILITIES / CONSIDERATIONS:</t>
  </si>
  <si>
    <t>TOTAL WEIGHT</t>
  </si>
  <si>
    <t>AGILITY MODIFIER</t>
  </si>
  <si>
    <t>MONEY</t>
  </si>
  <si>
    <t>AMOUNT</t>
  </si>
  <si>
    <t xml:space="preserve"> NOTES:</t>
  </si>
  <si>
    <t>COPPER FARTHINGS(x0.25)</t>
  </si>
  <si>
    <t>SILVER PENNIES(x1)</t>
  </si>
  <si>
    <t>GOLD SHILLINGS(x12)</t>
  </si>
  <si>
    <t>TRUESILVER GUINEAS(x252)</t>
  </si>
  <si>
    <t>EXPERIENCE POINTS(to be expended)</t>
  </si>
  <si>
    <t>EXM</t>
  </si>
  <si>
    <t>Experience multiplier</t>
  </si>
  <si>
    <t>Total (less magic)</t>
  </si>
  <si>
    <t>All colored squares are calculated automatically</t>
  </si>
  <si>
    <t>Magic Total</t>
  </si>
  <si>
    <t>Some cells are protected to make sure numbers are in the proper places for calculation</t>
  </si>
  <si>
    <t>Grand Total</t>
  </si>
  <si>
    <t>Only cells A1 to R53 are printed when you choose to make a hard copy of the sheet.</t>
  </si>
  <si>
    <t>Make sure you keep track of the Agility Modifier on Q47(It was too complex a formula to do it automatically)</t>
  </si>
  <si>
    <t>When calculating weight, only put the numbers for what is carried while in combat.</t>
  </si>
  <si>
    <t>Use a small zoom view factor in you Excel menu to see this sheet better</t>
  </si>
  <si>
    <t>Click on the Magic Record tab down below to switch to the magic record sheet</t>
  </si>
  <si>
    <t xml:space="preserve">          CHARACTER RECORD - MAGIC SPELLS</t>
  </si>
  <si>
    <t>College:</t>
  </si>
  <si>
    <t>Magic Modifiers:</t>
  </si>
  <si>
    <t>Code</t>
  </si>
  <si>
    <t>Name</t>
  </si>
  <si>
    <t>Effect</t>
  </si>
  <si>
    <t>Rk</t>
  </si>
  <si>
    <t>Resist</t>
  </si>
  <si>
    <t>Range</t>
  </si>
  <si>
    <t>Sub total</t>
  </si>
  <si>
    <t>Total magic experience spent</t>
  </si>
  <si>
    <t>Non-magic Total</t>
  </si>
  <si>
    <t>Main %</t>
  </si>
  <si>
    <t>Important note:</t>
  </si>
  <si>
    <t>Main%=Base%+Rank*3+each MA over 15</t>
  </si>
  <si>
    <t xml:space="preserve"> </t>
  </si>
  <si>
    <t>&lt;-- Note: extra magic armor protection could go here</t>
  </si>
  <si>
    <t>&lt;-- Note: extra magic shield protection could go here</t>
  </si>
  <si>
    <t>Created by Eric Labelle, revision 3.5a, go to www.iosphere.net/~eric/dq for updates and other stuff</t>
  </si>
  <si>
    <t>Climbing</t>
  </si>
  <si>
    <t>Swimming</t>
  </si>
  <si>
    <t>Flying</t>
  </si>
  <si>
    <t>Artisan</t>
  </si>
  <si>
    <t>T-1</t>
  </si>
  <si>
    <t>T-2</t>
  </si>
  <si>
    <t>G-1</t>
  </si>
  <si>
    <t>G-2</t>
  </si>
  <si>
    <t>G-3</t>
  </si>
  <si>
    <t>G-4</t>
  </si>
  <si>
    <t>G-5</t>
  </si>
  <si>
    <t>G-6</t>
  </si>
  <si>
    <t>G-7</t>
  </si>
  <si>
    <t>Q-1</t>
  </si>
  <si>
    <t>Ride Mount</t>
  </si>
  <si>
    <t>Sneak</t>
  </si>
  <si>
    <t>Move unnoticed</t>
  </si>
  <si>
    <t>Climb Surface</t>
  </si>
  <si>
    <t>Hold Breath</t>
  </si>
  <si>
    <t>Perform action in water</t>
  </si>
  <si>
    <t>Control Flying</t>
  </si>
  <si>
    <t>Perform complex arial actions</t>
  </si>
  <si>
    <t>Climb without use of tools</t>
  </si>
  <si>
    <t>Duration</t>
  </si>
  <si>
    <t>EM</t>
  </si>
  <si>
    <t>G-8</t>
  </si>
  <si>
    <t>G-9</t>
  </si>
  <si>
    <t>GEMS</t>
  </si>
  <si>
    <t>Character Name:</t>
  </si>
  <si>
    <t>May use one-handed weapons</t>
  </si>
  <si>
    <t>S-1</t>
  </si>
  <si>
    <t>S-9</t>
  </si>
  <si>
    <t xml:space="preserve">DATE:  </t>
  </si>
  <si>
    <t>LANGUAGES:</t>
  </si>
  <si>
    <t>S-3</t>
  </si>
  <si>
    <t>S-4</t>
  </si>
  <si>
    <t>S-5</t>
  </si>
  <si>
    <t>S-6</t>
  </si>
  <si>
    <t>S-7</t>
  </si>
  <si>
    <t>S-8</t>
  </si>
  <si>
    <t>S-2</t>
  </si>
  <si>
    <t xml:space="preserve">          CHARACTER RECORD - MAGIC ITEMS</t>
  </si>
  <si>
    <t>CHARGED ITEMS</t>
  </si>
  <si>
    <t>Item</t>
  </si>
  <si>
    <t>Charges</t>
  </si>
  <si>
    <t>No.</t>
  </si>
  <si>
    <t>SHAPED ITEMS</t>
  </si>
  <si>
    <t>NAME</t>
  </si>
  <si>
    <t>NOTES</t>
  </si>
  <si>
    <t>S-10</t>
  </si>
  <si>
    <t>S-11</t>
  </si>
  <si>
    <t>S-12</t>
  </si>
  <si>
    <t>S-13</t>
  </si>
  <si>
    <t>S-14</t>
  </si>
  <si>
    <t>Male</t>
  </si>
  <si>
    <t>Air Magic's</t>
  </si>
  <si>
    <t>T-3</t>
  </si>
  <si>
    <t>S-15</t>
  </si>
  <si>
    <t>S-16</t>
  </si>
  <si>
    <t>S-17</t>
  </si>
  <si>
    <t>S-18</t>
  </si>
  <si>
    <t>S-19</t>
  </si>
  <si>
    <t>Aerial Affinity</t>
  </si>
  <si>
    <t>Base%</t>
  </si>
  <si>
    <t>auto</t>
  </si>
  <si>
    <t>none</t>
  </si>
  <si>
    <t>Detect Fumes</t>
  </si>
  <si>
    <t>Predict Weather</t>
  </si>
  <si>
    <t xml:space="preserve">will know weather </t>
  </si>
  <si>
    <t>sight</t>
  </si>
  <si>
    <t>Calm</t>
  </si>
  <si>
    <t>Feater Falling</t>
  </si>
  <si>
    <t>Fall slowly toward the ground</t>
  </si>
  <si>
    <t>Mage Wind</t>
  </si>
  <si>
    <t>Mist</t>
  </si>
  <si>
    <t>Speak to Avians</t>
  </si>
  <si>
    <t>Can speak with any type of Avian</t>
  </si>
  <si>
    <t>Storm Calling</t>
  </si>
  <si>
    <t>Create a natrual storm</t>
  </si>
  <si>
    <t>Special</t>
  </si>
  <si>
    <t>Summon Avian</t>
  </si>
  <si>
    <t>5 miles</t>
  </si>
  <si>
    <t>Immediate</t>
  </si>
  <si>
    <t>AP</t>
  </si>
  <si>
    <t>Vapor Breathing</t>
  </si>
  <si>
    <t>Target may breath any type of gas</t>
  </si>
  <si>
    <t>Wind Whistle</t>
  </si>
  <si>
    <t>Wind Speak</t>
  </si>
  <si>
    <t>May speak through the wind</t>
  </si>
  <si>
    <t>Air Blast</t>
  </si>
  <si>
    <t>Arrow Flight</t>
  </si>
  <si>
    <t>5'</t>
  </si>
  <si>
    <t>Avian Control</t>
  </si>
  <si>
    <t>Barrier of Wind</t>
  </si>
  <si>
    <t>Conjurng Air</t>
  </si>
  <si>
    <t>Gaseous Form</t>
  </si>
  <si>
    <t>Turn into a cloud of vapor an may move TMR 2</t>
  </si>
  <si>
    <t>Self</t>
  </si>
  <si>
    <t>Gliding</t>
  </si>
  <si>
    <t>May glide downwars</t>
  </si>
  <si>
    <t>Knockout Gas</t>
  </si>
  <si>
    <t>Lighting Bolt</t>
  </si>
  <si>
    <t>60'</t>
  </si>
  <si>
    <t>Lighting Strike</t>
  </si>
  <si>
    <t>Resist Cold</t>
  </si>
  <si>
    <t>Protect form the cold envorinment</t>
  </si>
  <si>
    <t>Touch</t>
  </si>
  <si>
    <t>Shaping Clouds</t>
  </si>
  <si>
    <t>May turn clods into shapes in the sky</t>
  </si>
  <si>
    <t>Whirlwind Vortex</t>
  </si>
  <si>
    <t>Whispering Wind</t>
  </si>
  <si>
    <t>WindStorm</t>
  </si>
  <si>
    <t>Creates a Force 9 windstrom centered on the adept</t>
  </si>
  <si>
    <t>Wind Walking</t>
  </si>
  <si>
    <t>Ball of Lighting</t>
  </si>
  <si>
    <t>P</t>
  </si>
  <si>
    <t>Thunder Clap</t>
  </si>
  <si>
    <t xml:space="preserve">See Spell </t>
  </si>
  <si>
    <t>Greter Enchantment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</si>
</sst>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</numFmts>
  <fonts count="16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4"/>
      <name val="Times New Roman"/>
      <family val="1"/>
    </font>
    <font>
      <b/>
      <sz val="28"/>
      <name val="Times New Roman"/>
      <family val="1"/>
    </font>
    <font>
      <u val="single"/>
      <sz val="7.2"/>
      <color indexed="12"/>
      <name val="Arial"/>
      <family val="0"/>
    </font>
    <font>
      <u val="single"/>
      <sz val="7.2"/>
      <color indexed="36"/>
      <name val="Arial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0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0" xfId="0" applyFont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8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9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0" fillId="0" borderId="20" xfId="0" applyFont="1" applyBorder="1" applyAlignment="1">
      <alignment/>
    </xf>
    <xf numFmtId="0" fontId="6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5" xfId="0" applyFont="1" applyBorder="1" applyAlignment="1">
      <alignment horizontal="centerContinuous"/>
    </xf>
    <xf numFmtId="0" fontId="0" fillId="0" borderId="17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0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7" xfId="0" applyFont="1" applyBorder="1" applyAlignment="1">
      <alignment horizontal="centerContinuous"/>
    </xf>
    <xf numFmtId="0" fontId="1" fillId="0" borderId="2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16" xfId="0" applyFont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1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8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9" xfId="0" applyFont="1" applyBorder="1" applyAlignment="1">
      <alignment/>
    </xf>
    <xf numFmtId="0" fontId="6" fillId="0" borderId="4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23" xfId="0" applyFont="1" applyBorder="1" applyAlignment="1">
      <alignment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35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6" fillId="0" borderId="30" xfId="0" applyFont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" fillId="0" borderId="26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1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6" fillId="0" borderId="38" xfId="0" applyFont="1" applyFill="1" applyBorder="1" applyAlignment="1" applyProtection="1" quotePrefix="1">
      <alignment horizontal="center"/>
      <protection locked="0"/>
    </xf>
    <xf numFmtId="0" fontId="6" fillId="0" borderId="11" xfId="0" applyFont="1" applyFill="1" applyBorder="1" applyAlignment="1" applyProtection="1" quotePrefix="1">
      <alignment horizontal="center"/>
      <protection locked="0"/>
    </xf>
    <xf numFmtId="0" fontId="7" fillId="0" borderId="2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5" xfId="0" applyFont="1" applyBorder="1" applyAlignment="1">
      <alignment/>
    </xf>
    <xf numFmtId="0" fontId="8" fillId="0" borderId="27" xfId="0" applyFont="1" applyBorder="1" applyAlignment="1">
      <alignment/>
    </xf>
    <xf numFmtId="0" fontId="11" fillId="0" borderId="39" xfId="0" applyFont="1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/>
      <protection locked="0"/>
    </xf>
    <xf numFmtId="0" fontId="11" fillId="0" borderId="35" xfId="0" applyFont="1" applyBorder="1" applyAlignment="1" applyProtection="1">
      <alignment horizontal="center"/>
      <protection locked="0"/>
    </xf>
    <xf numFmtId="0" fontId="4" fillId="0" borderId="9" xfId="0" applyFont="1" applyBorder="1" applyAlignment="1">
      <alignment horizontal="left"/>
    </xf>
    <xf numFmtId="0" fontId="11" fillId="0" borderId="1" xfId="0" applyFont="1" applyBorder="1" applyAlignment="1" applyProtection="1">
      <alignment horizontal="center"/>
      <protection locked="0"/>
    </xf>
    <xf numFmtId="0" fontId="6" fillId="2" borderId="30" xfId="0" applyFont="1" applyFill="1" applyBorder="1" applyAlignment="1">
      <alignment horizontal="center"/>
    </xf>
    <xf numFmtId="0" fontId="11" fillId="0" borderId="40" xfId="0" applyFont="1" applyBorder="1" applyAlignment="1" applyProtection="1">
      <alignment horizontal="center"/>
      <protection locked="0"/>
    </xf>
    <xf numFmtId="0" fontId="11" fillId="0" borderId="30" xfId="0" applyFont="1" applyBorder="1" applyAlignment="1" applyProtection="1">
      <alignment horizontal="center"/>
      <protection locked="0"/>
    </xf>
    <xf numFmtId="0" fontId="11" fillId="2" borderId="30" xfId="0" applyFont="1" applyFill="1" applyBorder="1" applyAlignment="1" quotePrefix="1">
      <alignment horizontal="center"/>
    </xf>
    <xf numFmtId="0" fontId="11" fillId="0" borderId="30" xfId="0" applyFont="1" applyBorder="1" applyAlignment="1" applyProtection="1" quotePrefix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2" borderId="41" xfId="0" applyFont="1" applyFill="1" applyBorder="1" applyAlignment="1">
      <alignment horizontal="center"/>
    </xf>
    <xf numFmtId="0" fontId="11" fillId="0" borderId="41" xfId="0" applyFont="1" applyFill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left"/>
      <protection locked="0"/>
    </xf>
    <xf numFmtId="0" fontId="11" fillId="0" borderId="20" xfId="0" applyFont="1" applyBorder="1" applyAlignment="1" applyProtection="1">
      <alignment horizontal="left"/>
      <protection locked="0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6" fillId="0" borderId="25" xfId="0" applyFont="1" applyBorder="1" applyAlignment="1">
      <alignment/>
    </xf>
    <xf numFmtId="0" fontId="1" fillId="0" borderId="16" xfId="0" applyFont="1" applyBorder="1" applyAlignment="1">
      <alignment/>
    </xf>
    <xf numFmtId="0" fontId="11" fillId="0" borderId="30" xfId="0" applyFont="1" applyBorder="1" applyAlignment="1" applyProtection="1">
      <alignment/>
      <protection locked="0"/>
    </xf>
    <xf numFmtId="0" fontId="11" fillId="0" borderId="30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11" xfId="0" applyFont="1" applyBorder="1" applyAlignment="1">
      <alignment/>
    </xf>
    <xf numFmtId="0" fontId="11" fillId="2" borderId="30" xfId="0" applyFont="1" applyFill="1" applyBorder="1" applyAlignment="1">
      <alignment horizontal="center"/>
    </xf>
    <xf numFmtId="0" fontId="11" fillId="0" borderId="4" xfId="0" applyFont="1" applyBorder="1" applyAlignment="1" applyProtection="1">
      <alignment horizontal="center" shrinkToFit="1"/>
      <protection locked="0"/>
    </xf>
    <xf numFmtId="0" fontId="11" fillId="0" borderId="4" xfId="0" applyFont="1" applyBorder="1" applyAlignment="1" applyProtection="1">
      <alignment shrinkToFit="1"/>
      <protection locked="0"/>
    </xf>
    <xf numFmtId="17" fontId="4" fillId="0" borderId="26" xfId="0" applyNumberFormat="1" applyFont="1" applyBorder="1" applyAlignment="1">
      <alignment horizontal="left"/>
    </xf>
    <xf numFmtId="0" fontId="11" fillId="0" borderId="4" xfId="0" applyFont="1" applyBorder="1" applyAlignment="1" applyProtection="1">
      <alignment/>
      <protection locked="0"/>
    </xf>
    <xf numFmtId="0" fontId="11" fillId="0" borderId="38" xfId="0" applyFont="1" applyBorder="1" applyAlignment="1" applyProtection="1">
      <alignment horizontal="center"/>
      <protection locked="0"/>
    </xf>
    <xf numFmtId="164" fontId="6" fillId="2" borderId="30" xfId="0" applyNumberFormat="1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6" fillId="2" borderId="0" xfId="0" applyFont="1" applyFill="1" applyAlignment="1">
      <alignment/>
    </xf>
    <xf numFmtId="0" fontId="6" fillId="2" borderId="45" xfId="0" applyFont="1" applyFill="1" applyBorder="1" applyAlignment="1">
      <alignment/>
    </xf>
    <xf numFmtId="0" fontId="11" fillId="2" borderId="30" xfId="0" applyFont="1" applyFill="1" applyBorder="1" applyAlignment="1">
      <alignment/>
    </xf>
    <xf numFmtId="0" fontId="11" fillId="2" borderId="30" xfId="0" applyFont="1" applyFill="1" applyBorder="1" applyAlignment="1" quotePrefix="1">
      <alignment/>
    </xf>
    <xf numFmtId="0" fontId="6" fillId="3" borderId="1" xfId="0" applyFont="1" applyFill="1" applyBorder="1" applyAlignment="1">
      <alignment horizontal="left"/>
    </xf>
    <xf numFmtId="0" fontId="6" fillId="3" borderId="11" xfId="0" applyFont="1" applyFill="1" applyBorder="1" applyAlignment="1">
      <alignment/>
    </xf>
    <xf numFmtId="0" fontId="6" fillId="3" borderId="30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0" fillId="2" borderId="37" xfId="0" applyFont="1" applyFill="1" applyBorder="1" applyAlignment="1" applyProtection="1">
      <alignment/>
      <protection/>
    </xf>
    <xf numFmtId="0" fontId="0" fillId="2" borderId="37" xfId="0" applyFill="1" applyBorder="1" applyAlignment="1" applyProtection="1">
      <alignment/>
      <protection/>
    </xf>
    <xf numFmtId="0" fontId="0" fillId="2" borderId="37" xfId="0" applyFont="1" applyFill="1" applyBorder="1" applyAlignment="1" applyProtection="1">
      <alignment horizontal="center"/>
      <protection/>
    </xf>
    <xf numFmtId="0" fontId="0" fillId="2" borderId="38" xfId="0" applyFont="1" applyFill="1" applyBorder="1" applyAlignment="1" applyProtection="1">
      <alignment/>
      <protection/>
    </xf>
    <xf numFmtId="0" fontId="1" fillId="0" borderId="39" xfId="0" applyFont="1" applyBorder="1" applyAlignment="1">
      <alignment horizontal="left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1" fillId="0" borderId="39" xfId="0" applyFont="1" applyBorder="1" applyAlignment="1" applyProtection="1">
      <alignment horizontal="left"/>
      <protection locked="0"/>
    </xf>
    <xf numFmtId="0" fontId="11" fillId="0" borderId="46" xfId="0" applyFont="1" applyBorder="1" applyAlignment="1" applyProtection="1">
      <alignment horizontal="left"/>
      <protection locked="0"/>
    </xf>
    <xf numFmtId="0" fontId="11" fillId="0" borderId="47" xfId="0" applyFont="1" applyBorder="1" applyAlignment="1" applyProtection="1">
      <alignment shrinkToFit="1"/>
      <protection locked="0"/>
    </xf>
    <xf numFmtId="0" fontId="11" fillId="0" borderId="47" xfId="0" applyFont="1" applyBorder="1" applyAlignment="1" applyProtection="1">
      <alignment horizontal="center"/>
      <protection locked="0"/>
    </xf>
    <xf numFmtId="0" fontId="11" fillId="0" borderId="47" xfId="0" applyFont="1" applyBorder="1" applyAlignment="1" applyProtection="1">
      <alignment horizontal="center" shrinkToFit="1"/>
      <protection locked="0"/>
    </xf>
    <xf numFmtId="0" fontId="11" fillId="2" borderId="48" xfId="0" applyFont="1" applyFill="1" applyBorder="1" applyAlignment="1" quotePrefix="1">
      <alignment horizontal="center"/>
    </xf>
    <xf numFmtId="0" fontId="14" fillId="0" borderId="19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11" fillId="0" borderId="0" xfId="0" applyFont="1" applyBorder="1" applyAlignment="1" applyProtection="1">
      <alignment horizontal="center" shrinkToFit="1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1" fillId="2" borderId="0" xfId="0" applyFont="1" applyFill="1" applyBorder="1" applyAlignment="1" quotePrefix="1">
      <alignment horizontal="center"/>
    </xf>
    <xf numFmtId="0" fontId="11" fillId="0" borderId="49" xfId="0" applyFont="1" applyBorder="1" applyAlignment="1" applyProtection="1">
      <alignment horizontal="center"/>
      <protection locked="0"/>
    </xf>
    <xf numFmtId="0" fontId="6" fillId="2" borderId="14" xfId="0" applyFont="1" applyFill="1" applyBorder="1" applyAlignment="1" applyProtection="1">
      <alignment/>
      <protection/>
    </xf>
    <xf numFmtId="164" fontId="6" fillId="2" borderId="15" xfId="0" applyNumberFormat="1" applyFont="1" applyFill="1" applyBorder="1" applyAlignment="1">
      <alignment/>
    </xf>
    <xf numFmtId="0" fontId="6" fillId="2" borderId="14" xfId="0" applyFont="1" applyFill="1" applyBorder="1" applyAlignment="1">
      <alignment/>
    </xf>
    <xf numFmtId="0" fontId="6" fillId="2" borderId="50" xfId="0" applyFont="1" applyFill="1" applyBorder="1" applyAlignment="1">
      <alignment/>
    </xf>
    <xf numFmtId="0" fontId="6" fillId="2" borderId="51" xfId="0" applyFont="1" applyFill="1" applyBorder="1" applyAlignment="1">
      <alignment/>
    </xf>
    <xf numFmtId="0" fontId="0" fillId="2" borderId="3" xfId="0" applyFont="1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0" fillId="2" borderId="6" xfId="0" applyFont="1" applyFill="1" applyBorder="1" applyAlignment="1" applyProtection="1">
      <alignment horizontal="center"/>
      <protection/>
    </xf>
    <xf numFmtId="0" fontId="0" fillId="2" borderId="35" xfId="0" applyFont="1" applyFill="1" applyBorder="1" applyAlignment="1" applyProtection="1">
      <alignment/>
      <protection/>
    </xf>
    <xf numFmtId="0" fontId="1" fillId="0" borderId="12" xfId="0" applyFont="1" applyBorder="1" applyAlignment="1">
      <alignment/>
    </xf>
    <xf numFmtId="0" fontId="0" fillId="2" borderId="12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49" xfId="0" applyFill="1" applyBorder="1" applyAlignment="1" applyProtection="1">
      <alignment/>
      <protection/>
    </xf>
    <xf numFmtId="0" fontId="11" fillId="0" borderId="6" xfId="0" applyFont="1" applyBorder="1" applyAlignment="1" applyProtection="1">
      <alignment/>
      <protection locked="0"/>
    </xf>
    <xf numFmtId="0" fontId="11" fillId="0" borderId="10" xfId="0" applyFont="1" applyBorder="1" applyAlignment="1" applyProtection="1">
      <alignment/>
      <protection locked="0"/>
    </xf>
    <xf numFmtId="0" fontId="11" fillId="0" borderId="3" xfId="0" applyFont="1" applyBorder="1" applyAlignment="1" applyProtection="1">
      <alignment/>
      <protection locked="0"/>
    </xf>
    <xf numFmtId="0" fontId="0" fillId="0" borderId="19" xfId="0" applyBorder="1" applyAlignment="1">
      <alignment/>
    </xf>
    <xf numFmtId="0" fontId="0" fillId="0" borderId="36" xfId="0" applyBorder="1" applyAlignment="1">
      <alignment/>
    </xf>
    <xf numFmtId="0" fontId="11" fillId="0" borderId="43" xfId="0" applyFont="1" applyBorder="1" applyAlignment="1" applyProtection="1">
      <alignment/>
      <protection locked="0"/>
    </xf>
    <xf numFmtId="0" fontId="11" fillId="0" borderId="46" xfId="0" applyFont="1" applyBorder="1" applyAlignment="1" applyProtection="1">
      <alignment horizontal="center"/>
      <protection locked="0"/>
    </xf>
    <xf numFmtId="0" fontId="11" fillId="0" borderId="47" xfId="0" applyFont="1" applyBorder="1" applyAlignment="1" applyProtection="1">
      <alignment/>
      <protection locked="0"/>
    </xf>
    <xf numFmtId="0" fontId="6" fillId="4" borderId="14" xfId="0" applyFont="1" applyFill="1" applyBorder="1" applyAlignment="1" applyProtection="1">
      <alignment/>
      <protection/>
    </xf>
    <xf numFmtId="164" fontId="6" fillId="4" borderId="15" xfId="0" applyNumberFormat="1" applyFont="1" applyFill="1" applyBorder="1" applyAlignment="1">
      <alignment/>
    </xf>
    <xf numFmtId="0" fontId="6" fillId="4" borderId="14" xfId="0" applyFont="1" applyFill="1" applyBorder="1" applyAlignment="1">
      <alignment/>
    </xf>
    <xf numFmtId="0" fontId="6" fillId="4" borderId="50" xfId="0" applyFont="1" applyFill="1" applyBorder="1" applyAlignment="1">
      <alignment/>
    </xf>
    <xf numFmtId="0" fontId="6" fillId="4" borderId="51" xfId="0" applyFont="1" applyFill="1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1" fillId="0" borderId="4" xfId="0" applyFont="1" applyBorder="1" applyAlignment="1" applyProtection="1">
      <alignment horizontal="left" shrinkToFit="1"/>
      <protection locked="0"/>
    </xf>
    <xf numFmtId="14" fontId="5" fillId="0" borderId="3" xfId="0" applyNumberFormat="1" applyFont="1" applyBorder="1" applyAlignment="1">
      <alignment/>
    </xf>
    <xf numFmtId="0" fontId="11" fillId="2" borderId="31" xfId="0" applyFont="1" applyFill="1" applyBorder="1" applyAlignment="1">
      <alignment horizontal="center"/>
    </xf>
    <xf numFmtId="0" fontId="15" fillId="0" borderId="4" xfId="0" applyFont="1" applyBorder="1" applyAlignment="1" applyProtection="1">
      <alignment horizontal="center"/>
      <protection locked="0"/>
    </xf>
    <xf numFmtId="0" fontId="11" fillId="2" borderId="30" xfId="0" applyFont="1" applyFill="1" applyBorder="1" applyAlignment="1">
      <alignment horizontal="center" shrinkToFit="1"/>
    </xf>
    <xf numFmtId="0" fontId="0" fillId="0" borderId="22" xfId="0" applyBorder="1" applyAlignment="1">
      <alignment horizontal="left"/>
    </xf>
    <xf numFmtId="2" fontId="11" fillId="2" borderId="41" xfId="0" applyNumberFormat="1" applyFont="1" applyFill="1" applyBorder="1" applyAlignment="1">
      <alignment horizontal="center"/>
    </xf>
    <xf numFmtId="0" fontId="12" fillId="2" borderId="8" xfId="0" applyFont="1" applyFill="1" applyBorder="1" applyAlignment="1">
      <alignment horizontal="left"/>
    </xf>
    <xf numFmtId="0" fontId="11" fillId="0" borderId="11" xfId="0" applyFont="1" applyBorder="1" applyAlignment="1" applyProtection="1">
      <alignment horizontal="center"/>
      <protection locked="0"/>
    </xf>
    <xf numFmtId="2" fontId="11" fillId="2" borderId="1" xfId="0" applyNumberFormat="1" applyFont="1" applyFill="1" applyBorder="1" applyAlignment="1">
      <alignment horizontal="center"/>
    </xf>
    <xf numFmtId="0" fontId="11" fillId="0" borderId="1" xfId="0" applyFont="1" applyBorder="1" applyAlignment="1" applyProtection="1">
      <alignment horizontal="left"/>
      <protection locked="0"/>
    </xf>
    <xf numFmtId="0" fontId="11" fillId="0" borderId="10" xfId="0" applyFont="1" applyBorder="1" applyAlignment="1" applyProtection="1">
      <alignment horizontal="left"/>
      <protection locked="0"/>
    </xf>
    <xf numFmtId="0" fontId="0" fillId="0" borderId="11" xfId="0" applyBorder="1" applyAlignment="1">
      <alignment/>
    </xf>
    <xf numFmtId="0" fontId="11" fillId="2" borderId="52" xfId="0" applyFont="1" applyFill="1" applyBorder="1" applyAlignment="1" applyProtection="1">
      <alignment/>
      <protection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6" fillId="0" borderId="9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11" fillId="0" borderId="52" xfId="0" applyFont="1" applyBorder="1" applyAlignment="1" applyProtection="1">
      <alignment horizontal="center"/>
      <protection locked="0"/>
    </xf>
    <xf numFmtId="0" fontId="11" fillId="0" borderId="44" xfId="0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left"/>
      <protection locked="0"/>
    </xf>
    <xf numFmtId="0" fontId="11" fillId="0" borderId="25" xfId="0" applyFont="1" applyBorder="1" applyAlignment="1" applyProtection="1">
      <alignment horizontal="left"/>
      <protection locked="0"/>
    </xf>
    <xf numFmtId="0" fontId="11" fillId="2" borderId="52" xfId="0" applyFont="1" applyFill="1" applyBorder="1" applyAlignment="1" applyProtection="1">
      <alignment horizontal="center"/>
      <protection locked="0"/>
    </xf>
    <xf numFmtId="0" fontId="0" fillId="2" borderId="53" xfId="0" applyFill="1" applyBorder="1" applyAlignment="1">
      <alignment horizontal="center"/>
    </xf>
    <xf numFmtId="0" fontId="11" fillId="0" borderId="20" xfId="0" applyFont="1" applyBorder="1" applyAlignment="1" applyProtection="1">
      <alignment horizontal="left"/>
      <protection locked="0"/>
    </xf>
    <xf numFmtId="0" fontId="11" fillId="0" borderId="11" xfId="0" applyFont="1" applyBorder="1" applyAlignment="1" applyProtection="1">
      <alignment horizontal="left"/>
      <protection locked="0"/>
    </xf>
    <xf numFmtId="0" fontId="13" fillId="0" borderId="10" xfId="0" applyFont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 horizontal="left"/>
      <protection locked="0"/>
    </xf>
    <xf numFmtId="0" fontId="4" fillId="0" borderId="43" xfId="0" applyFont="1" applyBorder="1" applyAlignment="1">
      <alignment/>
    </xf>
    <xf numFmtId="0" fontId="5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1" fillId="2" borderId="54" xfId="0" applyFont="1" applyFill="1" applyBorder="1" applyAlignment="1">
      <alignment horizontal="left"/>
    </xf>
    <xf numFmtId="0" fontId="0" fillId="0" borderId="38" xfId="0" applyBorder="1" applyAlignment="1">
      <alignment horizontal="left"/>
    </xf>
    <xf numFmtId="0" fontId="11" fillId="0" borderId="36" xfId="0" applyFont="1" applyBorder="1" applyAlignment="1" applyProtection="1">
      <alignment horizontal="left"/>
      <protection locked="0"/>
    </xf>
    <xf numFmtId="0" fontId="0" fillId="0" borderId="37" xfId="0" applyBorder="1" applyAlignment="1">
      <alignment horizontal="left"/>
    </xf>
    <xf numFmtId="0" fontId="11" fillId="0" borderId="1" xfId="0" applyFont="1" applyBorder="1" applyAlignment="1" applyProtection="1">
      <alignment horizontal="center"/>
      <protection locked="0"/>
    </xf>
    <xf numFmtId="0" fontId="11" fillId="2" borderId="33" xfId="0" applyFont="1" applyFill="1" applyBorder="1" applyAlignment="1">
      <alignment horizontal="left"/>
    </xf>
    <xf numFmtId="0" fontId="0" fillId="0" borderId="49" xfId="0" applyBorder="1" applyAlignment="1">
      <alignment horizontal="left"/>
    </xf>
    <xf numFmtId="0" fontId="11" fillId="0" borderId="52" xfId="0" applyFont="1" applyBorder="1" applyAlignment="1" applyProtection="1">
      <alignment horizontal="left"/>
      <protection locked="0"/>
    </xf>
    <xf numFmtId="0" fontId="11" fillId="0" borderId="43" xfId="0" applyFont="1" applyBorder="1" applyAlignment="1" applyProtection="1">
      <alignment horizontal="left"/>
      <protection locked="0"/>
    </xf>
    <xf numFmtId="0" fontId="11" fillId="0" borderId="44" xfId="0" applyFont="1" applyBorder="1" applyAlignment="1" applyProtection="1">
      <alignment horizontal="left"/>
      <protection locked="0"/>
    </xf>
    <xf numFmtId="2" fontId="11" fillId="0" borderId="1" xfId="0" applyNumberFormat="1" applyFont="1" applyBorder="1" applyAlignment="1" applyProtection="1">
      <alignment horizontal="center"/>
      <protection locked="0"/>
    </xf>
    <xf numFmtId="2" fontId="11" fillId="0" borderId="41" xfId="0" applyNumberFormat="1" applyFont="1" applyBorder="1" applyAlignment="1" applyProtection="1">
      <alignment horizontal="center"/>
      <protection locked="0"/>
    </xf>
    <xf numFmtId="0" fontId="0" fillId="0" borderId="5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42" xfId="0" applyFont="1" applyBorder="1" applyAlignment="1">
      <alignment/>
    </xf>
    <xf numFmtId="0" fontId="0" fillId="0" borderId="53" xfId="0" applyBorder="1" applyAlignment="1">
      <alignment/>
    </xf>
    <xf numFmtId="0" fontId="11" fillId="0" borderId="19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1" fillId="0" borderId="36" xfId="0" applyFont="1" applyBorder="1" applyAlignment="1" applyProtection="1">
      <alignment horizontal="center"/>
      <protection locked="0"/>
    </xf>
    <xf numFmtId="0" fontId="11" fillId="0" borderId="37" xfId="0" applyFont="1" applyBorder="1" applyAlignment="1" applyProtection="1">
      <alignment horizontal="center"/>
      <protection locked="0"/>
    </xf>
    <xf numFmtId="0" fontId="11" fillId="0" borderId="38" xfId="0" applyFont="1" applyBorder="1" applyAlignment="1" applyProtection="1">
      <alignment horizontal="center"/>
      <protection locked="0"/>
    </xf>
    <xf numFmtId="164" fontId="11" fillId="0" borderId="36" xfId="0" applyNumberFormat="1" applyFont="1" applyBorder="1" applyAlignment="1" applyProtection="1">
      <alignment horizontal="center"/>
      <protection locked="0"/>
    </xf>
    <xf numFmtId="164" fontId="11" fillId="0" borderId="38" xfId="0" applyNumberFormat="1" applyFont="1" applyBorder="1" applyAlignment="1" applyProtection="1">
      <alignment horizontal="center"/>
      <protection locked="0"/>
    </xf>
    <xf numFmtId="0" fontId="11" fillId="0" borderId="41" xfId="0" applyFont="1" applyBorder="1" applyAlignment="1" applyProtection="1">
      <alignment horizontal="left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2" fontId="11" fillId="0" borderId="1" xfId="0" applyNumberFormat="1" applyFont="1" applyFill="1" applyBorder="1" applyAlignment="1" applyProtection="1">
      <alignment horizontal="center"/>
      <protection locked="0"/>
    </xf>
    <xf numFmtId="2" fontId="11" fillId="0" borderId="41" xfId="0" applyNumberFormat="1" applyFont="1" applyFill="1" applyBorder="1" applyAlignment="1" applyProtection="1">
      <alignment horizontal="center"/>
      <protection locked="0"/>
    </xf>
    <xf numFmtId="0" fontId="0" fillId="0" borderId="41" xfId="0" applyBorder="1" applyAlignment="1">
      <alignment horizontal="center"/>
    </xf>
    <xf numFmtId="0" fontId="11" fillId="2" borderId="2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23" xfId="0" applyFont="1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11" xfId="0" applyFont="1" applyBorder="1" applyAlignment="1">
      <alignment horizontal="left"/>
    </xf>
    <xf numFmtId="0" fontId="11" fillId="0" borderId="53" xfId="0" applyFont="1" applyBorder="1" applyAlignment="1" applyProtection="1">
      <alignment horizontal="left"/>
      <protection locked="0"/>
    </xf>
    <xf numFmtId="0" fontId="11" fillId="0" borderId="6" xfId="0" applyFont="1" applyBorder="1" applyAlignment="1" applyProtection="1">
      <alignment horizontal="left"/>
      <protection locked="0"/>
    </xf>
    <xf numFmtId="0" fontId="11" fillId="0" borderId="18" xfId="0" applyFont="1" applyBorder="1" applyAlignment="1" applyProtection="1">
      <alignment horizontal="left"/>
      <protection locked="0"/>
    </xf>
    <xf numFmtId="0" fontId="11" fillId="0" borderId="3" xfId="0" applyFont="1" applyBorder="1" applyAlignment="1" applyProtection="1">
      <alignment horizontal="left"/>
      <protection locked="0"/>
    </xf>
    <xf numFmtId="0" fontId="11" fillId="0" borderId="35" xfId="0" applyFont="1" applyBorder="1" applyAlignment="1" applyProtection="1">
      <alignment horizontal="left"/>
      <protection locked="0"/>
    </xf>
    <xf numFmtId="0" fontId="11" fillId="0" borderId="19" xfId="0" applyFont="1" applyBorder="1" applyAlignment="1" applyProtection="1">
      <alignment horizontal="left" shrinkToFit="1"/>
      <protection locked="0"/>
    </xf>
    <xf numFmtId="0" fontId="0" fillId="0" borderId="0" xfId="0" applyBorder="1" applyAlignment="1">
      <alignment horizontal="left" shrinkToFit="1"/>
    </xf>
    <xf numFmtId="0" fontId="0" fillId="0" borderId="2" xfId="0" applyBorder="1" applyAlignment="1">
      <alignment horizontal="left" shrinkToFit="1"/>
    </xf>
    <xf numFmtId="0" fontId="14" fillId="0" borderId="33" xfId="0" applyFont="1" applyBorder="1" applyAlignment="1" applyProtection="1">
      <alignment horizontal="left" shrinkToFit="1"/>
      <protection locked="0"/>
    </xf>
    <xf numFmtId="0" fontId="0" fillId="0" borderId="0" xfId="0" applyBorder="1" applyAlignment="1">
      <alignment shrinkToFit="1"/>
    </xf>
    <xf numFmtId="0" fontId="0" fillId="0" borderId="49" xfId="0" applyBorder="1" applyAlignment="1">
      <alignment shrinkToFit="1"/>
    </xf>
    <xf numFmtId="0" fontId="11" fillId="0" borderId="36" xfId="0" applyFont="1" applyBorder="1" applyAlignment="1" applyProtection="1">
      <alignment horizontal="left" shrinkToFit="1"/>
      <protection locked="0"/>
    </xf>
    <xf numFmtId="0" fontId="0" fillId="0" borderId="37" xfId="0" applyBorder="1" applyAlignment="1">
      <alignment horizontal="left" shrinkToFit="1"/>
    </xf>
    <xf numFmtId="0" fontId="0" fillId="0" borderId="47" xfId="0" applyBorder="1" applyAlignment="1">
      <alignment horizontal="left" shrinkToFit="1"/>
    </xf>
    <xf numFmtId="0" fontId="11" fillId="0" borderId="54" xfId="0" applyFont="1" applyBorder="1" applyAlignment="1" applyProtection="1">
      <alignment horizontal="center" shrinkToFit="1"/>
      <protection locked="0"/>
    </xf>
    <xf numFmtId="0" fontId="0" fillId="0" borderId="37" xfId="0" applyBorder="1" applyAlignment="1">
      <alignment shrinkToFit="1"/>
    </xf>
    <xf numFmtId="0" fontId="0" fillId="0" borderId="38" xfId="0" applyBorder="1" applyAlignment="1">
      <alignment shrinkToFit="1"/>
    </xf>
    <xf numFmtId="0" fontId="11" fillId="0" borderId="0" xfId="0" applyFont="1" applyBorder="1" applyAlignment="1" applyProtection="1">
      <alignment shrinkToFit="1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11" fillId="0" borderId="19" xfId="0" applyFont="1" applyBorder="1" applyAlignment="1">
      <alignment shrinkToFit="1"/>
    </xf>
    <xf numFmtId="0" fontId="11" fillId="0" borderId="0" xfId="0" applyFont="1" applyBorder="1" applyAlignment="1">
      <alignment shrinkToFit="1"/>
    </xf>
    <xf numFmtId="0" fontId="11" fillId="0" borderId="2" xfId="0" applyFont="1" applyBorder="1" applyAlignment="1">
      <alignment shrinkToFit="1"/>
    </xf>
    <xf numFmtId="0" fontId="0" fillId="0" borderId="0" xfId="0" applyAlignment="1">
      <alignment shrinkToFit="1"/>
    </xf>
    <xf numFmtId="0" fontId="11" fillId="0" borderId="9" xfId="0" applyFont="1" applyBorder="1" applyAlignment="1" applyProtection="1">
      <alignment horizontal="center" shrinkToFit="1"/>
      <protection locked="0"/>
    </xf>
    <xf numFmtId="0" fontId="0" fillId="0" borderId="3" xfId="0" applyBorder="1" applyAlignment="1">
      <alignment shrinkToFit="1"/>
    </xf>
    <xf numFmtId="0" fontId="0" fillId="0" borderId="35" xfId="0" applyBorder="1" applyAlignment="1">
      <alignment shrinkToFit="1"/>
    </xf>
    <xf numFmtId="0" fontId="11" fillId="0" borderId="26" xfId="0" applyFont="1" applyBorder="1" applyAlignment="1" applyProtection="1">
      <alignment horizontal="left" shrinkToFit="1"/>
      <protection locked="0"/>
    </xf>
    <xf numFmtId="0" fontId="0" fillId="0" borderId="3" xfId="0" applyBorder="1" applyAlignment="1">
      <alignment horizontal="left" shrinkToFit="1"/>
    </xf>
    <xf numFmtId="0" fontId="0" fillId="0" borderId="4" xfId="0" applyBorder="1" applyAlignment="1">
      <alignment horizontal="left" shrinkToFit="1"/>
    </xf>
    <xf numFmtId="0" fontId="11" fillId="0" borderId="12" xfId="0" applyFont="1" applyBorder="1" applyAlignment="1" applyProtection="1">
      <alignment shrinkToFit="1"/>
      <protection locked="0"/>
    </xf>
    <xf numFmtId="0" fontId="0" fillId="0" borderId="13" xfId="0" applyBorder="1" applyAlignment="1">
      <alignment shrinkToFit="1"/>
    </xf>
    <xf numFmtId="0" fontId="0" fillId="0" borderId="2" xfId="0" applyBorder="1" applyAlignment="1">
      <alignment shrinkToFit="1"/>
    </xf>
    <xf numFmtId="0" fontId="11" fillId="2" borderId="27" xfId="0" applyFont="1" applyFill="1" applyBorder="1" applyAlignment="1" quotePrefix="1">
      <alignment horizontal="center"/>
    </xf>
    <xf numFmtId="0" fontId="0" fillId="0" borderId="16" xfId="0" applyBorder="1" applyAlignment="1">
      <alignment/>
    </xf>
    <xf numFmtId="0" fontId="0" fillId="0" borderId="25" xfId="0" applyBorder="1" applyAlignment="1">
      <alignment/>
    </xf>
    <xf numFmtId="0" fontId="1" fillId="2" borderId="26" xfId="0" applyFont="1" applyFill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49" xfId="0" applyFont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35" xfId="0" applyBorder="1" applyAlignment="1">
      <alignment/>
    </xf>
    <xf numFmtId="0" fontId="6" fillId="0" borderId="49" xfId="0" applyFont="1" applyBorder="1" applyAlignment="1">
      <alignment horizontal="center"/>
    </xf>
    <xf numFmtId="0" fontId="6" fillId="0" borderId="3" xfId="0" applyFont="1" applyBorder="1" applyAlignment="1">
      <alignment horizontal="right"/>
    </xf>
    <xf numFmtId="0" fontId="14" fillId="2" borderId="30" xfId="0" applyFont="1" applyFill="1" applyBorder="1" applyAlignment="1" quotePrefix="1">
      <alignment horizontal="center"/>
    </xf>
    <xf numFmtId="0" fontId="14" fillId="3" borderId="30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5" fillId="3" borderId="30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2" borderId="30" xfId="0" applyFont="1" applyFill="1" applyBorder="1" applyAlignment="1">
      <alignment horizontal="center"/>
    </xf>
    <xf numFmtId="0" fontId="0" fillId="2" borderId="3" xfId="0" applyFont="1" applyFill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2"/>
  <sheetViews>
    <sheetView showGridLines="0" tabSelected="1" defaultGridColor="0" zoomScale="75" zoomScaleNormal="75" colorId="8" workbookViewId="0" topLeftCell="A1">
      <selection activeCell="P2" sqref="P2"/>
    </sheetView>
  </sheetViews>
  <sheetFormatPr defaultColWidth="8.88671875" defaultRowHeight="15"/>
  <cols>
    <col min="1" max="1" width="11.77734375" style="0" customWidth="1"/>
    <col min="2" max="2" width="10.77734375" style="0" customWidth="1"/>
    <col min="3" max="3" width="3.21484375" style="0" customWidth="1"/>
    <col min="4" max="4" width="5.77734375" style="0" customWidth="1"/>
    <col min="5" max="5" width="5.88671875" style="0" customWidth="1"/>
    <col min="6" max="6" width="11.21484375" style="0" customWidth="1"/>
    <col min="7" max="18" width="4.77734375" style="0" customWidth="1"/>
    <col min="19" max="19" width="1.77734375" style="73" customWidth="1"/>
    <col min="20" max="20" width="20.6640625" style="0" customWidth="1"/>
    <col min="21" max="21" width="9.21484375" style="0" customWidth="1"/>
  </cols>
  <sheetData>
    <row r="1" spans="1:19" ht="34.5">
      <c r="A1" s="114" t="s">
        <v>0</v>
      </c>
      <c r="B1" s="32"/>
      <c r="C1" s="32"/>
      <c r="D1" s="32"/>
      <c r="E1" s="32"/>
      <c r="F1" s="33"/>
      <c r="G1" s="8" t="s">
        <v>1</v>
      </c>
      <c r="H1" s="10"/>
      <c r="I1" s="34"/>
      <c r="J1" s="10"/>
      <c r="K1" s="9"/>
      <c r="L1" s="9"/>
      <c r="M1" s="9"/>
      <c r="N1" s="9"/>
      <c r="O1" s="9"/>
      <c r="P1" s="9"/>
      <c r="Q1" s="9"/>
      <c r="R1" s="35"/>
      <c r="S1" s="65"/>
    </row>
    <row r="2" spans="1:21" s="5" customFormat="1" ht="18">
      <c r="A2" s="36" t="s">
        <v>2</v>
      </c>
      <c r="B2" s="3"/>
      <c r="C2" s="3"/>
      <c r="D2" s="3"/>
      <c r="E2" s="3"/>
      <c r="F2" s="4"/>
      <c r="G2" s="12" t="s">
        <v>3</v>
      </c>
      <c r="H2" s="120"/>
      <c r="I2" s="12" t="s">
        <v>4</v>
      </c>
      <c r="J2" s="155">
        <f>+J3+R10+R11</f>
        <v>11</v>
      </c>
      <c r="K2" s="12" t="s">
        <v>5</v>
      </c>
      <c r="L2" s="155">
        <f>+L3+R7+R8+Q48</f>
        <v>11</v>
      </c>
      <c r="M2" s="12" t="s">
        <v>6</v>
      </c>
      <c r="N2" s="120">
        <v>100</v>
      </c>
      <c r="O2" s="12" t="s">
        <v>7</v>
      </c>
      <c r="P2" s="120"/>
      <c r="Q2" s="12" t="s">
        <v>8</v>
      </c>
      <c r="R2" s="156"/>
      <c r="S2" s="66"/>
      <c r="T2" s="74" t="s">
        <v>9</v>
      </c>
      <c r="U2" s="75"/>
    </row>
    <row r="3" spans="1:21" s="5" customFormat="1" ht="18">
      <c r="A3" s="144" t="s">
        <v>123</v>
      </c>
      <c r="B3" s="211"/>
      <c r="C3" s="6"/>
      <c r="D3" s="6"/>
      <c r="E3" s="6"/>
      <c r="F3" s="7"/>
      <c r="G3" s="118"/>
      <c r="H3" s="82">
        <v>11</v>
      </c>
      <c r="I3" s="118"/>
      <c r="J3" s="82">
        <v>11</v>
      </c>
      <c r="K3" s="118"/>
      <c r="L3" s="82">
        <v>11</v>
      </c>
      <c r="M3" s="118"/>
      <c r="N3" s="82">
        <v>11</v>
      </c>
      <c r="O3" s="118"/>
      <c r="P3" s="82">
        <v>11</v>
      </c>
      <c r="Q3" s="118"/>
      <c r="R3" s="83">
        <v>11</v>
      </c>
      <c r="S3" s="66"/>
      <c r="T3" s="153">
        <f>+H3+J3+L3+N3+P3+R3</f>
        <v>66</v>
      </c>
      <c r="U3" s="154"/>
    </row>
    <row r="4" spans="1:19" s="5" customFormat="1" ht="18">
      <c r="A4" s="37" t="s">
        <v>10</v>
      </c>
      <c r="B4" s="236"/>
      <c r="C4" s="236"/>
      <c r="D4" s="236"/>
      <c r="E4" s="236"/>
      <c r="F4" s="236"/>
      <c r="G4" s="236"/>
      <c r="H4" s="237"/>
      <c r="I4" s="14" t="s">
        <v>11</v>
      </c>
      <c r="J4" s="84">
        <v>11</v>
      </c>
      <c r="K4" s="58" t="s">
        <v>12</v>
      </c>
      <c r="L4" s="110"/>
      <c r="M4" s="14" t="s">
        <v>13</v>
      </c>
      <c r="N4" s="84">
        <v>111</v>
      </c>
      <c r="O4" s="12" t="s">
        <v>14</v>
      </c>
      <c r="P4" s="335">
        <f>+P5+(P10*Q10)+(P11*Q11)</f>
        <v>111</v>
      </c>
      <c r="Q4" s="12" t="s">
        <v>15</v>
      </c>
      <c r="R4" s="156"/>
      <c r="S4" s="66"/>
    </row>
    <row r="5" spans="1:24" s="5" customFormat="1" ht="18.75" thickBot="1">
      <c r="A5" s="37" t="s">
        <v>16</v>
      </c>
      <c r="B5" s="85"/>
      <c r="C5" s="2" t="s">
        <v>17</v>
      </c>
      <c r="D5" s="86" t="s">
        <v>145</v>
      </c>
      <c r="E5" s="2" t="s">
        <v>18</v>
      </c>
      <c r="F5" s="85"/>
      <c r="G5" s="2" t="s">
        <v>19</v>
      </c>
      <c r="H5" s="238"/>
      <c r="I5" s="224"/>
      <c r="J5" s="225"/>
      <c r="K5" s="15" t="s">
        <v>20</v>
      </c>
      <c r="L5" s="86"/>
      <c r="M5" s="15" t="s">
        <v>21</v>
      </c>
      <c r="N5" s="86"/>
      <c r="O5" s="13"/>
      <c r="P5" s="336">
        <f>+L2+L41</f>
        <v>111</v>
      </c>
      <c r="Q5" s="118"/>
      <c r="R5" s="109">
        <v>11</v>
      </c>
      <c r="S5" s="67"/>
      <c r="X5" s="149"/>
    </row>
    <row r="6" spans="1:19" s="5" customFormat="1" ht="18">
      <c r="A6" s="57" t="s">
        <v>22</v>
      </c>
      <c r="B6" s="239" t="s">
        <v>23</v>
      </c>
      <c r="C6" s="240"/>
      <c r="D6" s="240"/>
      <c r="E6" s="241"/>
      <c r="F6" s="53" t="s">
        <v>25</v>
      </c>
      <c r="G6" s="53" t="s">
        <v>26</v>
      </c>
      <c r="H6" s="53" t="s">
        <v>27</v>
      </c>
      <c r="I6" s="53" t="s">
        <v>28</v>
      </c>
      <c r="J6" s="53" t="s">
        <v>29</v>
      </c>
      <c r="K6" s="53" t="s">
        <v>30</v>
      </c>
      <c r="L6" s="54" t="s">
        <v>31</v>
      </c>
      <c r="M6" s="8" t="s">
        <v>32</v>
      </c>
      <c r="N6" s="9"/>
      <c r="O6" s="53" t="s">
        <v>33</v>
      </c>
      <c r="P6" s="53" t="s">
        <v>24</v>
      </c>
      <c r="Q6" s="51" t="s">
        <v>34</v>
      </c>
      <c r="R6" s="52" t="s">
        <v>5</v>
      </c>
      <c r="S6" s="68"/>
    </row>
    <row r="7" spans="1:21" s="5" customFormat="1" ht="18">
      <c r="A7" s="121"/>
      <c r="B7" s="220"/>
      <c r="C7" s="221"/>
      <c r="D7" s="221"/>
      <c r="E7" s="222"/>
      <c r="F7" s="122"/>
      <c r="G7" s="123">
        <f>+IF(+A7&lt;&gt;"",+$L$2+$J$4+A7,"")</f>
      </c>
      <c r="H7" s="330">
        <f>+IF(A7&lt;&gt;"",+F7+$J$2+(A7*4)+L41,"")</f>
      </c>
      <c r="I7" s="124"/>
      <c r="J7" s="122"/>
      <c r="K7" s="122"/>
      <c r="L7" s="122"/>
      <c r="M7" s="220"/>
      <c r="N7" s="235"/>
      <c r="O7" s="122"/>
      <c r="P7" s="125"/>
      <c r="Q7" s="122"/>
      <c r="R7" s="126"/>
      <c r="S7" s="66"/>
      <c r="T7" s="89"/>
      <c r="U7" s="89"/>
    </row>
    <row r="8" spans="1:20" s="5" customFormat="1" ht="18">
      <c r="A8" s="121"/>
      <c r="B8" s="220"/>
      <c r="C8" s="221"/>
      <c r="D8" s="221"/>
      <c r="E8" s="222"/>
      <c r="F8" s="122"/>
      <c r="G8" s="123">
        <f>+IF(+A8&lt;&gt;"",+$L$2+$J$4+A8,"")</f>
      </c>
      <c r="H8" s="330">
        <f>+IF(A8&lt;&gt;"",+F8+$J$2+(A8*4)+L41,"")</f>
      </c>
      <c r="I8" s="124"/>
      <c r="J8" s="122"/>
      <c r="K8" s="122"/>
      <c r="L8" s="122"/>
      <c r="M8" s="220"/>
      <c r="N8" s="235"/>
      <c r="O8" s="122"/>
      <c r="P8" s="122"/>
      <c r="Q8" s="122"/>
      <c r="R8" s="127"/>
      <c r="S8" s="66"/>
      <c r="T8" s="5" t="s">
        <v>88</v>
      </c>
    </row>
    <row r="9" spans="1:19" s="5" customFormat="1" ht="18">
      <c r="A9" s="121"/>
      <c r="B9" s="220"/>
      <c r="C9" s="221"/>
      <c r="D9" s="221"/>
      <c r="E9" s="222"/>
      <c r="F9" s="122"/>
      <c r="G9" s="123">
        <f>+IF(+A9&lt;&gt;"",+$L$2+$J$4+A9,"")</f>
      </c>
      <c r="H9" s="330">
        <f>+IF(A9&lt;&gt;"",+F9+$J$2+(A9*4)+L41,"")</f>
      </c>
      <c r="I9" s="122"/>
      <c r="J9" s="122"/>
      <c r="K9" s="122"/>
      <c r="L9" s="122"/>
      <c r="M9" s="11" t="s">
        <v>35</v>
      </c>
      <c r="N9" s="107"/>
      <c r="O9" s="108"/>
      <c r="P9" s="55" t="s">
        <v>36</v>
      </c>
      <c r="Q9" s="55" t="s">
        <v>37</v>
      </c>
      <c r="R9" s="56" t="s">
        <v>4</v>
      </c>
      <c r="S9" s="68"/>
    </row>
    <row r="10" spans="1:19" s="5" customFormat="1" ht="18">
      <c r="A10" s="121"/>
      <c r="B10" s="220"/>
      <c r="C10" s="221"/>
      <c r="D10" s="221"/>
      <c r="E10" s="222"/>
      <c r="F10" s="122"/>
      <c r="G10" s="123">
        <f>+IF(+A10&lt;&gt;"",+$L$2+$J$4+A10,"")</f>
      </c>
      <c r="H10" s="330">
        <f>+IF(A10&lt;&gt;"",+F10+$J$2+(A10*4)+L41,"")</f>
      </c>
      <c r="I10" s="124"/>
      <c r="J10" s="122"/>
      <c r="K10" s="122"/>
      <c r="L10" s="122"/>
      <c r="M10" s="220"/>
      <c r="N10" s="221"/>
      <c r="O10" s="235"/>
      <c r="P10" s="122"/>
      <c r="Q10" s="122"/>
      <c r="R10" s="126"/>
      <c r="S10" s="66"/>
    </row>
    <row r="11" spans="1:20" s="5" customFormat="1" ht="18.75" thickBot="1">
      <c r="A11" s="121"/>
      <c r="B11" s="223"/>
      <c r="C11" s="224"/>
      <c r="D11" s="224"/>
      <c r="E11" s="225"/>
      <c r="F11" s="122"/>
      <c r="G11" s="123">
        <f>+IF(+A11&lt;&gt;"",+$L$2+$J$4+A11,"")</f>
      </c>
      <c r="H11" s="330">
        <f>+IF(A11&lt;&gt;"",+F11+$J$2+(A11*4)+L41,"")</f>
      </c>
      <c r="I11" s="122"/>
      <c r="J11" s="122"/>
      <c r="K11" s="122"/>
      <c r="L11" s="122"/>
      <c r="M11" s="249"/>
      <c r="N11" s="250"/>
      <c r="O11" s="251"/>
      <c r="P11" s="122"/>
      <c r="Q11" s="122"/>
      <c r="R11" s="127"/>
      <c r="S11" s="66"/>
      <c r="T11" s="5" t="s">
        <v>89</v>
      </c>
    </row>
    <row r="12" spans="1:19" s="5" customFormat="1" ht="18.75" thickBot="1">
      <c r="A12" s="80" t="s">
        <v>38</v>
      </c>
      <c r="B12" s="277" t="s">
        <v>146</v>
      </c>
      <c r="C12" s="278"/>
      <c r="D12" s="278"/>
      <c r="E12" s="278"/>
      <c r="F12" s="278"/>
      <c r="G12" s="81" t="s">
        <v>39</v>
      </c>
      <c r="H12" s="41"/>
      <c r="I12" s="41"/>
      <c r="J12" s="41"/>
      <c r="K12" s="41"/>
      <c r="L12" s="332" t="str">
        <f>+IF(B12&lt;&gt;"",+P3,+P3+20+10)+L41&amp;"%"</f>
        <v>111%</v>
      </c>
      <c r="M12" s="333"/>
      <c r="N12" s="333"/>
      <c r="O12" s="333"/>
      <c r="P12" s="333"/>
      <c r="Q12" s="333"/>
      <c r="R12" s="334"/>
      <c r="S12" s="65"/>
    </row>
    <row r="13" spans="1:21" s="5" customFormat="1" ht="18">
      <c r="A13" s="38"/>
      <c r="B13" s="25"/>
      <c r="C13" s="23"/>
      <c r="D13" s="24"/>
      <c r="E13" s="25"/>
      <c r="F13" s="23"/>
      <c r="G13" s="24"/>
      <c r="H13" s="24"/>
      <c r="I13" s="24"/>
      <c r="J13" s="25"/>
      <c r="K13" s="28"/>
      <c r="L13" s="28"/>
      <c r="M13" s="38"/>
      <c r="N13" s="24"/>
      <c r="O13" s="24"/>
      <c r="P13" s="25"/>
      <c r="Q13" s="23"/>
      <c r="R13" s="39"/>
      <c r="S13" s="69"/>
      <c r="T13" s="76" t="s">
        <v>40</v>
      </c>
      <c r="U13" s="77"/>
    </row>
    <row r="14" spans="1:21" s="5" customFormat="1" ht="18">
      <c r="A14" s="46" t="s">
        <v>41</v>
      </c>
      <c r="B14" s="19"/>
      <c r="C14" s="26" t="s">
        <v>42</v>
      </c>
      <c r="D14" s="20"/>
      <c r="E14" s="19"/>
      <c r="F14" s="26" t="s">
        <v>43</v>
      </c>
      <c r="G14" s="20"/>
      <c r="H14" s="20"/>
      <c r="I14" s="20"/>
      <c r="J14" s="19"/>
      <c r="K14" s="29" t="s">
        <v>36</v>
      </c>
      <c r="L14" s="29" t="s">
        <v>37</v>
      </c>
      <c r="M14" s="46" t="s">
        <v>44</v>
      </c>
      <c r="N14" s="20"/>
      <c r="O14" s="20"/>
      <c r="P14" s="19"/>
      <c r="Q14" s="226" t="s">
        <v>45</v>
      </c>
      <c r="R14" s="227"/>
      <c r="S14" s="70"/>
      <c r="T14" s="78" t="s">
        <v>46</v>
      </c>
      <c r="U14" s="79"/>
    </row>
    <row r="15" spans="1:21" s="21" customFormat="1" ht="18">
      <c r="A15" s="139" t="s">
        <v>47</v>
      </c>
      <c r="B15" s="140"/>
      <c r="C15" s="220" t="s">
        <v>105</v>
      </c>
      <c r="D15" s="221"/>
      <c r="E15" s="235"/>
      <c r="F15" s="220" t="s">
        <v>120</v>
      </c>
      <c r="G15" s="221"/>
      <c r="H15" s="221"/>
      <c r="I15" s="221"/>
      <c r="J15" s="235"/>
      <c r="K15" s="122">
        <v>0</v>
      </c>
      <c r="L15" s="331">
        <f>+(ROUNDUP((L2+P2)/2,0))+(K15*8)+L41</f>
        <v>106</v>
      </c>
      <c r="M15" s="271"/>
      <c r="N15" s="272"/>
      <c r="O15" s="272"/>
      <c r="P15" s="222"/>
      <c r="Q15" s="219"/>
      <c r="R15" s="216"/>
      <c r="S15" s="64"/>
      <c r="T15" s="151"/>
      <c r="U15" s="87"/>
    </row>
    <row r="16" spans="1:21" s="21" customFormat="1" ht="18">
      <c r="A16" s="139" t="s">
        <v>48</v>
      </c>
      <c r="B16" s="140"/>
      <c r="C16" s="220" t="s">
        <v>106</v>
      </c>
      <c r="D16" s="221"/>
      <c r="E16" s="235"/>
      <c r="F16" s="220" t="s">
        <v>107</v>
      </c>
      <c r="G16" s="221"/>
      <c r="H16" s="221"/>
      <c r="I16" s="221"/>
      <c r="J16" s="235"/>
      <c r="K16" s="122">
        <v>0</v>
      </c>
      <c r="L16" s="331">
        <f>+(L3*3)+(K16*5)+O7+O8+L41</f>
        <v>133</v>
      </c>
      <c r="M16" s="271"/>
      <c r="N16" s="272"/>
      <c r="O16" s="272"/>
      <c r="P16" s="222"/>
      <c r="Q16" s="219"/>
      <c r="R16" s="216"/>
      <c r="S16" s="64"/>
      <c r="T16" s="151"/>
      <c r="U16" s="87"/>
    </row>
    <row r="17" spans="1:21" s="21" customFormat="1" ht="18">
      <c r="A17" s="234" t="s">
        <v>91</v>
      </c>
      <c r="B17" s="235"/>
      <c r="C17" s="220" t="s">
        <v>108</v>
      </c>
      <c r="D17" s="221"/>
      <c r="E17" s="235"/>
      <c r="F17" s="220" t="s">
        <v>113</v>
      </c>
      <c r="G17" s="221"/>
      <c r="H17" s="221"/>
      <c r="I17" s="221"/>
      <c r="J17" s="235"/>
      <c r="K17" s="122">
        <v>0</v>
      </c>
      <c r="L17" s="331">
        <f>+(J2*4)+(K17*8)+L41</f>
        <v>144</v>
      </c>
      <c r="M17" s="271"/>
      <c r="N17" s="272"/>
      <c r="O17" s="272"/>
      <c r="P17" s="222"/>
      <c r="Q17" s="219"/>
      <c r="R17" s="216"/>
      <c r="S17" s="64"/>
      <c r="T17" s="151"/>
      <c r="U17" s="87"/>
    </row>
    <row r="18" spans="1:21" s="21" customFormat="1" ht="18">
      <c r="A18" s="234" t="s">
        <v>92</v>
      </c>
      <c r="B18" s="235"/>
      <c r="C18" s="220" t="s">
        <v>109</v>
      </c>
      <c r="D18" s="221"/>
      <c r="E18" s="235"/>
      <c r="F18" s="220" t="s">
        <v>110</v>
      </c>
      <c r="G18" s="221"/>
      <c r="H18" s="221"/>
      <c r="I18" s="221"/>
      <c r="J18" s="235"/>
      <c r="K18" s="122">
        <v>0</v>
      </c>
      <c r="L18" s="331">
        <f>+(H2)+(K18*8)+L2+R2+L41</f>
        <v>111</v>
      </c>
      <c r="M18" s="271"/>
      <c r="N18" s="272"/>
      <c r="O18" s="272"/>
      <c r="P18" s="222"/>
      <c r="Q18" s="219"/>
      <c r="R18" s="216"/>
      <c r="S18" s="64"/>
      <c r="T18" s="151"/>
      <c r="U18" s="87"/>
    </row>
    <row r="19" spans="1:21" s="21" customFormat="1" ht="18">
      <c r="A19" s="234" t="s">
        <v>93</v>
      </c>
      <c r="B19" s="235"/>
      <c r="C19" s="220" t="s">
        <v>111</v>
      </c>
      <c r="D19" s="221"/>
      <c r="E19" s="235"/>
      <c r="F19" s="220" t="s">
        <v>112</v>
      </c>
      <c r="G19" s="221"/>
      <c r="H19" s="221"/>
      <c r="I19" s="221"/>
      <c r="J19" s="235"/>
      <c r="K19" s="122">
        <v>0</v>
      </c>
      <c r="L19" s="331">
        <f>+(L3*3)+(K19*10)+L41</f>
        <v>133</v>
      </c>
      <c r="M19" s="271"/>
      <c r="N19" s="272"/>
      <c r="O19" s="272"/>
      <c r="P19" s="222"/>
      <c r="Q19" s="219"/>
      <c r="R19" s="216"/>
      <c r="S19" s="64"/>
      <c r="T19" s="151"/>
      <c r="U19" s="87"/>
    </row>
    <row r="20" spans="1:21" s="21" customFormat="1" ht="18">
      <c r="A20" s="234" t="s">
        <v>94</v>
      </c>
      <c r="B20" s="235"/>
      <c r="C20" s="220"/>
      <c r="D20" s="221"/>
      <c r="E20" s="235"/>
      <c r="F20" s="220"/>
      <c r="G20" s="221"/>
      <c r="H20" s="221"/>
      <c r="I20" s="221"/>
      <c r="J20" s="235"/>
      <c r="K20" s="122">
        <v>0</v>
      </c>
      <c r="L20" s="122"/>
      <c r="M20" s="271"/>
      <c r="N20" s="272"/>
      <c r="O20" s="272"/>
      <c r="P20" s="222"/>
      <c r="Q20" s="219"/>
      <c r="R20" s="216"/>
      <c r="S20" s="64"/>
      <c r="T20" s="151"/>
      <c r="U20" s="87"/>
    </row>
    <row r="21" spans="1:21" s="21" customFormat="1" ht="18">
      <c r="A21" s="234"/>
      <c r="B21" s="279"/>
      <c r="C21" s="220"/>
      <c r="D21" s="273"/>
      <c r="E21" s="274"/>
      <c r="F21" s="220"/>
      <c r="G21" s="273"/>
      <c r="H21" s="273"/>
      <c r="I21" s="273"/>
      <c r="J21" s="274"/>
      <c r="K21" s="122"/>
      <c r="L21" s="119"/>
      <c r="M21" s="271"/>
      <c r="N21" s="272"/>
      <c r="O21" s="272"/>
      <c r="P21" s="222"/>
      <c r="Q21" s="219"/>
      <c r="R21" s="216"/>
      <c r="S21" s="64"/>
      <c r="T21" s="152"/>
      <c r="U21" s="87"/>
    </row>
    <row r="22" spans="1:21" s="21" customFormat="1" ht="18">
      <c r="A22" s="234"/>
      <c r="B22" s="274"/>
      <c r="C22" s="220"/>
      <c r="D22" s="273"/>
      <c r="E22" s="274"/>
      <c r="F22" s="220"/>
      <c r="G22" s="273"/>
      <c r="H22" s="273"/>
      <c r="I22" s="273"/>
      <c r="J22" s="274"/>
      <c r="K22" s="122"/>
      <c r="L22" s="119"/>
      <c r="M22" s="234"/>
      <c r="N22" s="221"/>
      <c r="O22" s="221"/>
      <c r="P22" s="235"/>
      <c r="Q22" s="219"/>
      <c r="R22" s="216"/>
      <c r="S22" s="64"/>
      <c r="T22" s="151"/>
      <c r="U22" s="87"/>
    </row>
    <row r="23" spans="1:21" s="21" customFormat="1" ht="18">
      <c r="A23" s="234"/>
      <c r="B23" s="235"/>
      <c r="C23" s="220"/>
      <c r="D23" s="273"/>
      <c r="E23" s="274"/>
      <c r="F23" s="220"/>
      <c r="G23" s="221"/>
      <c r="H23" s="221"/>
      <c r="I23" s="221"/>
      <c r="J23" s="235"/>
      <c r="K23" s="122"/>
      <c r="L23" s="122"/>
      <c r="M23" s="271"/>
      <c r="N23" s="275"/>
      <c r="O23" s="275"/>
      <c r="P23" s="276"/>
      <c r="Q23" s="219"/>
      <c r="R23" s="270"/>
      <c r="S23" s="64"/>
      <c r="T23" s="151"/>
      <c r="U23" s="87"/>
    </row>
    <row r="24" spans="1:21" s="21" customFormat="1" ht="18">
      <c r="A24" s="234"/>
      <c r="B24" s="274"/>
      <c r="C24" s="220"/>
      <c r="D24" s="273"/>
      <c r="E24" s="274"/>
      <c r="F24" s="220"/>
      <c r="G24" s="221"/>
      <c r="H24" s="221"/>
      <c r="I24" s="221"/>
      <c r="J24" s="235"/>
      <c r="K24" s="122"/>
      <c r="L24" s="122"/>
      <c r="M24" s="271"/>
      <c r="N24" s="272"/>
      <c r="O24" s="272"/>
      <c r="P24" s="222"/>
      <c r="Q24" s="219"/>
      <c r="R24" s="270"/>
      <c r="S24" s="64"/>
      <c r="T24" s="151"/>
      <c r="U24" s="87"/>
    </row>
    <row r="25" spans="1:21" s="21" customFormat="1" ht="18">
      <c r="A25" s="234"/>
      <c r="B25" s="274"/>
      <c r="C25" s="220"/>
      <c r="D25" s="273"/>
      <c r="E25" s="274"/>
      <c r="F25" s="220"/>
      <c r="G25" s="273"/>
      <c r="H25" s="273"/>
      <c r="I25" s="273"/>
      <c r="J25" s="274"/>
      <c r="K25" s="122"/>
      <c r="L25" s="122"/>
      <c r="M25" s="234"/>
      <c r="N25" s="273"/>
      <c r="O25" s="273"/>
      <c r="P25" s="274"/>
      <c r="Q25" s="268"/>
      <c r="R25" s="270"/>
      <c r="S25" s="64"/>
      <c r="T25" s="151"/>
      <c r="U25" s="87"/>
    </row>
    <row r="26" spans="1:21" s="21" customFormat="1" ht="18">
      <c r="A26" s="234"/>
      <c r="B26" s="235"/>
      <c r="C26" s="220"/>
      <c r="D26" s="221"/>
      <c r="E26" s="235"/>
      <c r="F26" s="220"/>
      <c r="G26" s="221"/>
      <c r="H26" s="221"/>
      <c r="I26" s="221"/>
      <c r="J26" s="235"/>
      <c r="K26" s="122"/>
      <c r="L26" s="122"/>
      <c r="M26" s="234"/>
      <c r="N26" s="221"/>
      <c r="O26" s="221"/>
      <c r="P26" s="235"/>
      <c r="Q26" s="268"/>
      <c r="R26" s="269"/>
      <c r="S26" s="64"/>
      <c r="T26" s="151"/>
      <c r="U26" s="87"/>
    </row>
    <row r="27" spans="1:21" s="21" customFormat="1" ht="18">
      <c r="A27" s="129"/>
      <c r="B27" s="128"/>
      <c r="C27" s="220"/>
      <c r="D27" s="221"/>
      <c r="E27" s="235"/>
      <c r="F27" s="220"/>
      <c r="G27" s="221"/>
      <c r="H27" s="221"/>
      <c r="I27" s="221"/>
      <c r="J27" s="235"/>
      <c r="K27" s="122"/>
      <c r="L27" s="122"/>
      <c r="M27" s="234"/>
      <c r="N27" s="221"/>
      <c r="O27" s="221"/>
      <c r="P27" s="235"/>
      <c r="Q27" s="268"/>
      <c r="R27" s="269"/>
      <c r="S27" s="64"/>
      <c r="T27" s="151"/>
      <c r="U27" s="87"/>
    </row>
    <row r="28" spans="1:21" s="21" customFormat="1" ht="18">
      <c r="A28" s="234"/>
      <c r="B28" s="235"/>
      <c r="C28" s="220"/>
      <c r="D28" s="221"/>
      <c r="E28" s="235"/>
      <c r="F28" s="220"/>
      <c r="G28" s="221"/>
      <c r="H28" s="221"/>
      <c r="I28" s="221"/>
      <c r="J28" s="235"/>
      <c r="K28" s="122"/>
      <c r="L28" s="122"/>
      <c r="M28" s="234"/>
      <c r="N28" s="221"/>
      <c r="O28" s="221"/>
      <c r="P28" s="235"/>
      <c r="Q28" s="268"/>
      <c r="R28" s="269"/>
      <c r="S28" s="64"/>
      <c r="T28" s="151"/>
      <c r="U28" s="87"/>
    </row>
    <row r="29" spans="1:21" s="21" customFormat="1" ht="18">
      <c r="A29" s="234"/>
      <c r="B29" s="235"/>
      <c r="C29" s="220"/>
      <c r="D29" s="221"/>
      <c r="E29" s="235"/>
      <c r="F29" s="220"/>
      <c r="G29" s="221"/>
      <c r="H29" s="221"/>
      <c r="I29" s="221"/>
      <c r="J29" s="235"/>
      <c r="K29" s="122"/>
      <c r="L29" s="122"/>
      <c r="M29" s="234"/>
      <c r="N29" s="221"/>
      <c r="O29" s="221"/>
      <c r="P29" s="235"/>
      <c r="Q29" s="268"/>
      <c r="R29" s="269"/>
      <c r="S29" s="64"/>
      <c r="T29" s="151"/>
      <c r="U29" s="87"/>
    </row>
    <row r="30" spans="1:21" s="22" customFormat="1" ht="18">
      <c r="A30" s="234"/>
      <c r="B30" s="235"/>
      <c r="C30" s="220"/>
      <c r="D30" s="221"/>
      <c r="E30" s="235"/>
      <c r="F30" s="220"/>
      <c r="G30" s="221"/>
      <c r="H30" s="221"/>
      <c r="I30" s="221"/>
      <c r="J30" s="235"/>
      <c r="K30" s="122"/>
      <c r="L30" s="122"/>
      <c r="M30" s="234"/>
      <c r="N30" s="221"/>
      <c r="O30" s="221"/>
      <c r="P30" s="235"/>
      <c r="Q30" s="268"/>
      <c r="R30" s="269"/>
      <c r="S30" s="64"/>
      <c r="T30" s="151"/>
      <c r="U30" s="87"/>
    </row>
    <row r="31" spans="1:21" s="22" customFormat="1" ht="18">
      <c r="A31" s="234"/>
      <c r="B31" s="235"/>
      <c r="C31" s="220"/>
      <c r="D31" s="221"/>
      <c r="E31" s="235"/>
      <c r="F31" s="220"/>
      <c r="G31" s="221"/>
      <c r="H31" s="221"/>
      <c r="I31" s="221"/>
      <c r="J31" s="235"/>
      <c r="K31" s="122"/>
      <c r="L31" s="122"/>
      <c r="M31" s="234"/>
      <c r="N31" s="221"/>
      <c r="O31" s="221"/>
      <c r="P31" s="235"/>
      <c r="Q31" s="268"/>
      <c r="R31" s="269"/>
      <c r="S31" s="64"/>
      <c r="T31" s="151"/>
      <c r="U31" s="87"/>
    </row>
    <row r="32" spans="1:21" s="21" customFormat="1" ht="18">
      <c r="A32" s="234"/>
      <c r="B32" s="235"/>
      <c r="C32" s="220"/>
      <c r="D32" s="221"/>
      <c r="E32" s="235"/>
      <c r="F32" s="220"/>
      <c r="G32" s="221"/>
      <c r="H32" s="221"/>
      <c r="I32" s="221"/>
      <c r="J32" s="235"/>
      <c r="K32" s="122"/>
      <c r="L32" s="122"/>
      <c r="M32" s="234"/>
      <c r="N32" s="221"/>
      <c r="O32" s="221"/>
      <c r="P32" s="235"/>
      <c r="Q32" s="252"/>
      <c r="R32" s="253"/>
      <c r="S32" s="64"/>
      <c r="T32" s="151"/>
      <c r="U32" s="87"/>
    </row>
    <row r="33" spans="1:21" s="21" customFormat="1" ht="18">
      <c r="A33" s="129"/>
      <c r="B33" s="128"/>
      <c r="C33" s="220"/>
      <c r="D33" s="221"/>
      <c r="E33" s="235"/>
      <c r="F33" s="220"/>
      <c r="G33" s="221"/>
      <c r="H33" s="221"/>
      <c r="I33" s="221"/>
      <c r="J33" s="235"/>
      <c r="K33" s="122"/>
      <c r="L33" s="122"/>
      <c r="M33" s="234"/>
      <c r="N33" s="221"/>
      <c r="O33" s="221"/>
      <c r="P33" s="235"/>
      <c r="Q33" s="252"/>
      <c r="R33" s="253"/>
      <c r="S33" s="64"/>
      <c r="T33" s="151"/>
      <c r="U33" s="87"/>
    </row>
    <row r="34" spans="1:21" s="21" customFormat="1" ht="18">
      <c r="A34" s="234"/>
      <c r="B34" s="235"/>
      <c r="C34" s="220"/>
      <c r="D34" s="221"/>
      <c r="E34" s="235"/>
      <c r="F34" s="220"/>
      <c r="G34" s="221"/>
      <c r="H34" s="221"/>
      <c r="I34" s="221"/>
      <c r="J34" s="235"/>
      <c r="K34" s="122"/>
      <c r="L34" s="122"/>
      <c r="M34" s="234"/>
      <c r="N34" s="221"/>
      <c r="O34" s="221"/>
      <c r="P34" s="235"/>
      <c r="Q34" s="252"/>
      <c r="R34" s="253"/>
      <c r="S34" s="64"/>
      <c r="T34" s="151"/>
      <c r="U34" s="87"/>
    </row>
    <row r="35" spans="1:21" s="21" customFormat="1" ht="18">
      <c r="A35" s="234"/>
      <c r="B35" s="235"/>
      <c r="C35" s="220"/>
      <c r="D35" s="221"/>
      <c r="E35" s="235"/>
      <c r="F35" s="220"/>
      <c r="G35" s="221"/>
      <c r="H35" s="221"/>
      <c r="I35" s="221"/>
      <c r="J35" s="235"/>
      <c r="K35" s="122"/>
      <c r="L35" s="122"/>
      <c r="M35" s="234"/>
      <c r="N35" s="221"/>
      <c r="O35" s="221"/>
      <c r="P35" s="235"/>
      <c r="Q35" s="252"/>
      <c r="R35" s="253"/>
      <c r="S35" s="64"/>
      <c r="T35" s="151"/>
      <c r="U35" s="87"/>
    </row>
    <row r="36" spans="1:21" s="21" customFormat="1" ht="18">
      <c r="A36" s="234"/>
      <c r="B36" s="235"/>
      <c r="C36" s="220"/>
      <c r="D36" s="221"/>
      <c r="E36" s="235"/>
      <c r="F36" s="220"/>
      <c r="G36" s="221"/>
      <c r="H36" s="221"/>
      <c r="I36" s="221"/>
      <c r="J36" s="235"/>
      <c r="K36" s="122"/>
      <c r="L36" s="122"/>
      <c r="M36" s="234"/>
      <c r="N36" s="221"/>
      <c r="O36" s="221"/>
      <c r="P36" s="235"/>
      <c r="Q36" s="252"/>
      <c r="R36" s="253"/>
      <c r="S36" s="64"/>
      <c r="T36" s="151"/>
      <c r="U36" s="87"/>
    </row>
    <row r="37" spans="1:21" s="22" customFormat="1" ht="18">
      <c r="A37" s="234"/>
      <c r="B37" s="235"/>
      <c r="C37" s="220"/>
      <c r="D37" s="221"/>
      <c r="E37" s="235"/>
      <c r="F37" s="220"/>
      <c r="G37" s="221"/>
      <c r="H37" s="221"/>
      <c r="I37" s="221"/>
      <c r="J37" s="235"/>
      <c r="K37" s="122"/>
      <c r="L37" s="122"/>
      <c r="M37" s="234"/>
      <c r="N37" s="221"/>
      <c r="O37" s="221"/>
      <c r="P37" s="235"/>
      <c r="Q37" s="252"/>
      <c r="R37" s="253"/>
      <c r="S37" s="64"/>
      <c r="T37" s="151"/>
      <c r="U37" s="87"/>
    </row>
    <row r="38" spans="1:21" s="22" customFormat="1" ht="18">
      <c r="A38" s="234"/>
      <c r="B38" s="235"/>
      <c r="C38" s="220"/>
      <c r="D38" s="221"/>
      <c r="E38" s="235"/>
      <c r="F38" s="220"/>
      <c r="G38" s="221"/>
      <c r="H38" s="221"/>
      <c r="I38" s="221"/>
      <c r="J38" s="235"/>
      <c r="K38" s="122"/>
      <c r="L38" s="122"/>
      <c r="M38" s="234"/>
      <c r="N38" s="221"/>
      <c r="O38" s="221"/>
      <c r="P38" s="235"/>
      <c r="Q38" s="252"/>
      <c r="R38" s="253"/>
      <c r="S38" s="64"/>
      <c r="T38" s="151"/>
      <c r="U38" s="87"/>
    </row>
    <row r="39" spans="1:21" s="21" customFormat="1" ht="18.75" thickBot="1">
      <c r="A39" s="234"/>
      <c r="B39" s="235"/>
      <c r="C39" s="220"/>
      <c r="D39" s="221"/>
      <c r="E39" s="235"/>
      <c r="F39" s="220"/>
      <c r="G39" s="221"/>
      <c r="H39" s="221"/>
      <c r="I39" s="221"/>
      <c r="J39" s="235"/>
      <c r="K39" s="122"/>
      <c r="L39" s="122"/>
      <c r="M39" s="234"/>
      <c r="N39" s="221"/>
      <c r="O39" s="221"/>
      <c r="P39" s="235"/>
      <c r="Q39" s="252"/>
      <c r="R39" s="253"/>
      <c r="S39" s="64"/>
      <c r="T39" s="151"/>
      <c r="U39" s="87"/>
    </row>
    <row r="40" spans="1:21" s="21" customFormat="1" ht="18">
      <c r="A40" s="62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135"/>
      <c r="M40" s="234"/>
      <c r="N40" s="221"/>
      <c r="O40" s="221"/>
      <c r="P40" s="235"/>
      <c r="Q40" s="252"/>
      <c r="R40" s="253"/>
      <c r="S40" s="64"/>
      <c r="T40" s="151"/>
      <c r="U40" s="87"/>
    </row>
    <row r="41" spans="1:21" s="21" customFormat="1" ht="18">
      <c r="A41" s="59" t="s">
        <v>49</v>
      </c>
      <c r="B41" s="60"/>
      <c r="C41" s="61"/>
      <c r="D41" s="18"/>
      <c r="E41" s="60"/>
      <c r="F41" s="61"/>
      <c r="G41" s="329" t="s">
        <v>209</v>
      </c>
      <c r="H41" s="329"/>
      <c r="I41" s="329"/>
      <c r="J41" s="329"/>
      <c r="K41" s="329"/>
      <c r="L41" s="328">
        <v>100</v>
      </c>
      <c r="M41" s="234"/>
      <c r="N41" s="221"/>
      <c r="O41" s="221"/>
      <c r="P41" s="235"/>
      <c r="Q41" s="252"/>
      <c r="R41" s="253"/>
      <c r="S41" s="64"/>
      <c r="T41" s="151"/>
      <c r="U41" s="87"/>
    </row>
    <row r="42" spans="1:21" s="22" customFormat="1" ht="18">
      <c r="A42" s="234"/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34"/>
      <c r="N42" s="221"/>
      <c r="O42" s="221"/>
      <c r="P42" s="235"/>
      <c r="Q42" s="252"/>
      <c r="R42" s="253"/>
      <c r="S42" s="64"/>
      <c r="T42" s="151"/>
      <c r="U42" s="87"/>
    </row>
    <row r="43" spans="1:21" s="22" customFormat="1" ht="18">
      <c r="A43" s="234"/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34"/>
      <c r="N43" s="221"/>
      <c r="O43" s="221"/>
      <c r="P43" s="235"/>
      <c r="Q43" s="252"/>
      <c r="R43" s="253"/>
      <c r="S43" s="64"/>
      <c r="T43" s="137"/>
      <c r="U43" s="87"/>
    </row>
    <row r="44" spans="1:21" s="22" customFormat="1" ht="18">
      <c r="A44" s="234"/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34"/>
      <c r="N44" s="221"/>
      <c r="O44" s="221"/>
      <c r="P44" s="235"/>
      <c r="Q44" s="252"/>
      <c r="R44" s="253"/>
      <c r="S44" s="64"/>
      <c r="T44" s="137"/>
      <c r="U44" s="87"/>
    </row>
    <row r="45" spans="1:21" s="22" customFormat="1" ht="18">
      <c r="A45" s="234"/>
      <c r="B45" s="221"/>
      <c r="C45" s="221"/>
      <c r="D45" s="221"/>
      <c r="E45" s="221"/>
      <c r="F45" s="221"/>
      <c r="G45" s="221"/>
      <c r="H45" s="221"/>
      <c r="I45" s="221"/>
      <c r="J45" s="221"/>
      <c r="K45" s="221"/>
      <c r="L45" s="265"/>
      <c r="M45" s="234"/>
      <c r="N45" s="221"/>
      <c r="O45" s="221"/>
      <c r="P45" s="235"/>
      <c r="Q45" s="252"/>
      <c r="R45" s="253"/>
      <c r="S45" s="64"/>
      <c r="T45" s="137"/>
      <c r="U45" s="87"/>
    </row>
    <row r="46" spans="1:21" s="22" customFormat="1" ht="18">
      <c r="A46" s="234"/>
      <c r="B46" s="221"/>
      <c r="C46" s="221"/>
      <c r="D46" s="221"/>
      <c r="E46" s="221"/>
      <c r="F46" s="221"/>
      <c r="G46" s="221"/>
      <c r="H46" s="221"/>
      <c r="I46" s="221"/>
      <c r="J46" s="221"/>
      <c r="K46" s="221"/>
      <c r="L46" s="265"/>
      <c r="M46" s="47"/>
      <c r="N46" s="16"/>
      <c r="O46" s="16"/>
      <c r="P46" s="17"/>
      <c r="Q46" s="219"/>
      <c r="R46" s="216"/>
      <c r="S46" s="64"/>
      <c r="T46" s="137"/>
      <c r="U46" s="87"/>
    </row>
    <row r="47" spans="1:21" s="22" customFormat="1" ht="18">
      <c r="A47" s="234"/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65"/>
      <c r="M47" s="47" t="s">
        <v>50</v>
      </c>
      <c r="N47" s="16"/>
      <c r="O47" s="16"/>
      <c r="P47" s="17"/>
      <c r="Q47" s="219">
        <f>SUM(Q15:R46)</f>
        <v>0</v>
      </c>
      <c r="R47" s="216"/>
      <c r="S47" s="69"/>
      <c r="T47" s="137"/>
      <c r="U47" s="87"/>
    </row>
    <row r="48" spans="1:21" s="22" customFormat="1" ht="18.75" thickBot="1">
      <c r="A48" s="256" t="s">
        <v>124</v>
      </c>
      <c r="B48" s="224"/>
      <c r="C48" s="224"/>
      <c r="D48" s="224"/>
      <c r="E48" s="224"/>
      <c r="F48" s="224"/>
      <c r="G48" s="224"/>
      <c r="H48" s="224"/>
      <c r="I48" s="224"/>
      <c r="J48" s="224"/>
      <c r="K48" s="224"/>
      <c r="L48" s="257"/>
      <c r="M48" s="50" t="s">
        <v>51</v>
      </c>
      <c r="N48" s="16"/>
      <c r="O48" s="16"/>
      <c r="P48" s="17"/>
      <c r="Q48" s="232"/>
      <c r="R48" s="233"/>
      <c r="S48" s="71"/>
      <c r="T48" s="137"/>
      <c r="U48" s="87"/>
    </row>
    <row r="49" spans="1:21" s="22" customFormat="1" ht="18">
      <c r="A49" s="42" t="s">
        <v>52</v>
      </c>
      <c r="B49" s="130"/>
      <c r="C49" s="131"/>
      <c r="D49" s="266" t="s">
        <v>53</v>
      </c>
      <c r="E49" s="267"/>
      <c r="F49" s="254" t="s">
        <v>118</v>
      </c>
      <c r="G49" s="255"/>
      <c r="H49" s="48" t="s">
        <v>54</v>
      </c>
      <c r="I49" s="43"/>
      <c r="J49" s="230"/>
      <c r="K49" s="230"/>
      <c r="L49" s="230"/>
      <c r="M49" s="230"/>
      <c r="N49" s="230"/>
      <c r="O49" s="230"/>
      <c r="P49" s="230"/>
      <c r="Q49" s="230"/>
      <c r="R49" s="231"/>
      <c r="S49" s="71"/>
      <c r="T49" s="137"/>
      <c r="U49" s="87"/>
    </row>
    <row r="50" spans="1:21" s="22" customFormat="1" ht="18">
      <c r="A50" s="40" t="s">
        <v>55</v>
      </c>
      <c r="B50" s="30"/>
      <c r="C50" s="31"/>
      <c r="D50" s="246"/>
      <c r="E50" s="218"/>
      <c r="F50" s="217"/>
      <c r="G50" s="215"/>
      <c r="H50" s="258"/>
      <c r="I50" s="259"/>
      <c r="J50" s="259"/>
      <c r="K50" s="259"/>
      <c r="L50" s="259"/>
      <c r="M50" s="259"/>
      <c r="N50" s="259"/>
      <c r="O50" s="259"/>
      <c r="P50" s="259"/>
      <c r="Q50" s="259"/>
      <c r="R50" s="248"/>
      <c r="S50" s="71"/>
      <c r="T50" s="137"/>
      <c r="U50" s="87"/>
    </row>
    <row r="51" spans="1:21" s="22" customFormat="1" ht="18.75" thickBot="1">
      <c r="A51" s="40" t="s">
        <v>56</v>
      </c>
      <c r="B51" s="30"/>
      <c r="C51" s="31"/>
      <c r="D51" s="246"/>
      <c r="E51" s="218"/>
      <c r="F51" s="247"/>
      <c r="G51" s="248"/>
      <c r="H51" s="244"/>
      <c r="I51" s="245"/>
      <c r="J51" s="245"/>
      <c r="K51" s="245"/>
      <c r="L51" s="245"/>
      <c r="M51" s="245"/>
      <c r="N51" s="245"/>
      <c r="O51" s="245"/>
      <c r="P51" s="245"/>
      <c r="Q51" s="245"/>
      <c r="R51" s="243"/>
      <c r="S51" s="71"/>
      <c r="T51" s="137"/>
      <c r="U51" s="87"/>
    </row>
    <row r="52" spans="1:21" s="22" customFormat="1" ht="18">
      <c r="A52" s="40" t="s">
        <v>57</v>
      </c>
      <c r="B52" s="30"/>
      <c r="C52" s="31"/>
      <c r="D52" s="246"/>
      <c r="E52" s="218"/>
      <c r="F52" s="247"/>
      <c r="G52" s="248"/>
      <c r="H52" s="48" t="s">
        <v>59</v>
      </c>
      <c r="I52" s="43"/>
      <c r="J52" s="43"/>
      <c r="K52" s="43"/>
      <c r="L52" s="43"/>
      <c r="M52" s="43"/>
      <c r="N52" s="43"/>
      <c r="O52" s="43"/>
      <c r="P52" s="45"/>
      <c r="Q52" s="49" t="s">
        <v>60</v>
      </c>
      <c r="R52" s="44"/>
      <c r="S52" s="88"/>
      <c r="T52" s="138" t="s">
        <v>61</v>
      </c>
      <c r="U52" s="147">
        <f>+Q53</f>
        <v>0</v>
      </c>
    </row>
    <row r="53" spans="1:21" s="22" customFormat="1" ht="18.75" thickBot="1">
      <c r="A53" s="132" t="s">
        <v>58</v>
      </c>
      <c r="B53" s="133"/>
      <c r="C53" s="134"/>
      <c r="D53" s="228"/>
      <c r="E53" s="229"/>
      <c r="F53" s="242"/>
      <c r="G53" s="243"/>
      <c r="H53" s="260"/>
      <c r="I53" s="261"/>
      <c r="J53" s="261"/>
      <c r="K53" s="261"/>
      <c r="L53" s="261"/>
      <c r="M53" s="261"/>
      <c r="N53" s="261"/>
      <c r="O53" s="261"/>
      <c r="P53" s="262"/>
      <c r="Q53" s="263"/>
      <c r="R53" s="264"/>
      <c r="S53" s="88"/>
      <c r="T53" s="138" t="s">
        <v>62</v>
      </c>
      <c r="U53" s="148">
        <f>SUM(U15:U51)*U52</f>
        <v>0</v>
      </c>
    </row>
    <row r="54" spans="1:21" s="22" customFormat="1" ht="18">
      <c r="A54" s="27" t="s">
        <v>63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S54" s="72"/>
      <c r="T54" s="5"/>
      <c r="U54" s="149"/>
    </row>
    <row r="55" spans="1:21" s="22" customFormat="1" ht="18">
      <c r="A55" s="27" t="s">
        <v>65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S55" s="72"/>
      <c r="T55" s="5" t="s">
        <v>64</v>
      </c>
      <c r="U55" s="149">
        <f>+'Magic Record'!L51</f>
        <v>0</v>
      </c>
    </row>
    <row r="56" spans="1:21" s="22" customFormat="1" ht="18.75" thickBot="1">
      <c r="A56" s="27" t="s">
        <v>67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S56" s="72"/>
      <c r="T56" s="5" t="s">
        <v>66</v>
      </c>
      <c r="U56" s="150">
        <f>+U53+U55</f>
        <v>0</v>
      </c>
    </row>
    <row r="57" spans="1:19" s="22" customFormat="1" ht="15.75" thickTop="1">
      <c r="A57" s="27" t="s">
        <v>68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S57" s="72"/>
    </row>
    <row r="58" spans="1:19" s="22" customFormat="1" ht="15">
      <c r="A58" s="27" t="s">
        <v>69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S58" s="72"/>
    </row>
    <row r="59" spans="1:19" s="22" customFormat="1" ht="15">
      <c r="A59" s="27" t="s">
        <v>70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S59" s="72"/>
    </row>
    <row r="60" spans="1:19" s="22" customFormat="1" ht="15">
      <c r="A60" s="27" t="s">
        <v>71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S60" s="72"/>
    </row>
    <row r="61" spans="1:19" s="22" customFormat="1" ht="15">
      <c r="A61" s="27" t="s">
        <v>90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S61" s="72"/>
    </row>
    <row r="62" spans="1:19" s="22" customFormat="1" ht="1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S62" s="72"/>
    </row>
    <row r="63" spans="1:19" s="22" customFormat="1" ht="1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S63" s="72"/>
    </row>
    <row r="64" spans="1:19" s="22" customFormat="1" ht="1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S64" s="72"/>
    </row>
    <row r="65" spans="1:19" s="22" customFormat="1" ht="1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S65" s="72"/>
    </row>
    <row r="66" spans="1:19" s="22" customFormat="1" ht="1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S66" s="72"/>
    </row>
    <row r="67" spans="1:19" s="22" customFormat="1" ht="1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S67" s="72"/>
    </row>
    <row r="68" spans="1:12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</sheetData>
  <mergeCells count="174">
    <mergeCell ref="G41:K41"/>
    <mergeCell ref="F27:J27"/>
    <mergeCell ref="F21:J21"/>
    <mergeCell ref="C22:E22"/>
    <mergeCell ref="F22:J22"/>
    <mergeCell ref="C23:E23"/>
    <mergeCell ref="F23:J23"/>
    <mergeCell ref="F26:J26"/>
    <mergeCell ref="F24:J24"/>
    <mergeCell ref="C25:E25"/>
    <mergeCell ref="F25:J25"/>
    <mergeCell ref="F28:J28"/>
    <mergeCell ref="C29:E29"/>
    <mergeCell ref="F29:J29"/>
    <mergeCell ref="C30:E30"/>
    <mergeCell ref="F30:J30"/>
    <mergeCell ref="F33:J33"/>
    <mergeCell ref="C34:E34"/>
    <mergeCell ref="F34:J34"/>
    <mergeCell ref="C35:E35"/>
    <mergeCell ref="F35:J35"/>
    <mergeCell ref="A22:B22"/>
    <mergeCell ref="A23:B23"/>
    <mergeCell ref="A21:B21"/>
    <mergeCell ref="C36:E36"/>
    <mergeCell ref="C28:E28"/>
    <mergeCell ref="C24:E24"/>
    <mergeCell ref="C21:E21"/>
    <mergeCell ref="A30:B30"/>
    <mergeCell ref="A28:B28"/>
    <mergeCell ref="A29:B29"/>
    <mergeCell ref="A24:B24"/>
    <mergeCell ref="A25:B25"/>
    <mergeCell ref="A36:B36"/>
    <mergeCell ref="A37:B37"/>
    <mergeCell ref="A34:B34"/>
    <mergeCell ref="A35:B35"/>
    <mergeCell ref="A32:B32"/>
    <mergeCell ref="A26:B26"/>
    <mergeCell ref="L12:R12"/>
    <mergeCell ref="M19:P19"/>
    <mergeCell ref="M20:P20"/>
    <mergeCell ref="M15:P15"/>
    <mergeCell ref="M16:P16"/>
    <mergeCell ref="Q15:R15"/>
    <mergeCell ref="Q16:R16"/>
    <mergeCell ref="Q17:R17"/>
    <mergeCell ref="Q18:R18"/>
    <mergeCell ref="M17:P17"/>
    <mergeCell ref="A20:B20"/>
    <mergeCell ref="A31:B31"/>
    <mergeCell ref="B12:F12"/>
    <mergeCell ref="A17:B17"/>
    <mergeCell ref="A18:B18"/>
    <mergeCell ref="A19:B19"/>
    <mergeCell ref="F19:J19"/>
    <mergeCell ref="C15:E15"/>
    <mergeCell ref="C31:E31"/>
    <mergeCell ref="F15:J15"/>
    <mergeCell ref="M18:P18"/>
    <mergeCell ref="Q19:R19"/>
    <mergeCell ref="Q20:R20"/>
    <mergeCell ref="Q25:R25"/>
    <mergeCell ref="M21:P21"/>
    <mergeCell ref="M22:P22"/>
    <mergeCell ref="M25:P25"/>
    <mergeCell ref="M24:P24"/>
    <mergeCell ref="M23:P23"/>
    <mergeCell ref="Q26:R26"/>
    <mergeCell ref="Q21:R21"/>
    <mergeCell ref="Q22:R22"/>
    <mergeCell ref="Q23:R23"/>
    <mergeCell ref="Q24:R24"/>
    <mergeCell ref="Q27:R27"/>
    <mergeCell ref="Q28:R28"/>
    <mergeCell ref="Q29:R29"/>
    <mergeCell ref="Q30:R30"/>
    <mergeCell ref="Q31:R31"/>
    <mergeCell ref="Q32:R32"/>
    <mergeCell ref="Q33:R33"/>
    <mergeCell ref="Q35:R35"/>
    <mergeCell ref="Q36:R36"/>
    <mergeCell ref="Q37:R37"/>
    <mergeCell ref="Q34:R34"/>
    <mergeCell ref="Q38:R38"/>
    <mergeCell ref="Q39:R39"/>
    <mergeCell ref="Q40:R40"/>
    <mergeCell ref="Q41:R41"/>
    <mergeCell ref="Q42:R42"/>
    <mergeCell ref="H53:P53"/>
    <mergeCell ref="Q53:R53"/>
    <mergeCell ref="Q47:R47"/>
    <mergeCell ref="M45:P45"/>
    <mergeCell ref="A45:L45"/>
    <mergeCell ref="A46:L46"/>
    <mergeCell ref="A47:L47"/>
    <mergeCell ref="D49:E49"/>
    <mergeCell ref="D50:E50"/>
    <mergeCell ref="D51:E51"/>
    <mergeCell ref="F52:G52"/>
    <mergeCell ref="Q43:R43"/>
    <mergeCell ref="Q44:R44"/>
    <mergeCell ref="Q45:R45"/>
    <mergeCell ref="A43:L43"/>
    <mergeCell ref="A44:L44"/>
    <mergeCell ref="F49:G49"/>
    <mergeCell ref="A48:L48"/>
    <mergeCell ref="H50:R50"/>
    <mergeCell ref="M43:P43"/>
    <mergeCell ref="M7:N7"/>
    <mergeCell ref="M8:N8"/>
    <mergeCell ref="M10:O10"/>
    <mergeCell ref="M11:O11"/>
    <mergeCell ref="A39:B39"/>
    <mergeCell ref="C39:E39"/>
    <mergeCell ref="F39:J39"/>
    <mergeCell ref="F53:G53"/>
    <mergeCell ref="H51:R51"/>
    <mergeCell ref="D52:E52"/>
    <mergeCell ref="Q46:R46"/>
    <mergeCell ref="M44:P44"/>
    <mergeCell ref="F50:G50"/>
    <mergeCell ref="F51:G51"/>
    <mergeCell ref="C32:E32"/>
    <mergeCell ref="C26:E26"/>
    <mergeCell ref="A38:B38"/>
    <mergeCell ref="C38:E38"/>
    <mergeCell ref="C37:E37"/>
    <mergeCell ref="C33:E33"/>
    <mergeCell ref="C27:E27"/>
    <mergeCell ref="M26:P26"/>
    <mergeCell ref="M27:P27"/>
    <mergeCell ref="M28:P28"/>
    <mergeCell ref="M29:P29"/>
    <mergeCell ref="M30:P30"/>
    <mergeCell ref="M33:P33"/>
    <mergeCell ref="M34:P34"/>
    <mergeCell ref="M36:P36"/>
    <mergeCell ref="M35:P35"/>
    <mergeCell ref="F16:J16"/>
    <mergeCell ref="F17:J17"/>
    <mergeCell ref="B4:H4"/>
    <mergeCell ref="H5:J5"/>
    <mergeCell ref="B6:E6"/>
    <mergeCell ref="B7:E7"/>
    <mergeCell ref="B8:E8"/>
    <mergeCell ref="B9:E9"/>
    <mergeCell ref="C16:E16"/>
    <mergeCell ref="C17:E17"/>
    <mergeCell ref="C18:E18"/>
    <mergeCell ref="C19:E19"/>
    <mergeCell ref="C20:E20"/>
    <mergeCell ref="F18:J18"/>
    <mergeCell ref="F20:J20"/>
    <mergeCell ref="M41:P41"/>
    <mergeCell ref="M42:P42"/>
    <mergeCell ref="F31:J31"/>
    <mergeCell ref="F32:J32"/>
    <mergeCell ref="M32:P32"/>
    <mergeCell ref="F38:J38"/>
    <mergeCell ref="M31:P31"/>
    <mergeCell ref="A42:L42"/>
    <mergeCell ref="F36:J36"/>
    <mergeCell ref="F37:J37"/>
    <mergeCell ref="B10:E10"/>
    <mergeCell ref="B11:E11"/>
    <mergeCell ref="Q14:R14"/>
    <mergeCell ref="D53:E53"/>
    <mergeCell ref="J49:R49"/>
    <mergeCell ref="Q48:R48"/>
    <mergeCell ref="M37:P37"/>
    <mergeCell ref="M38:P38"/>
    <mergeCell ref="M39:P39"/>
    <mergeCell ref="M40:P40"/>
  </mergeCells>
  <printOptions/>
  <pageMargins left="0.5" right="0.3" top="0.3" bottom="0.3" header="0.5" footer="0.5"/>
  <pageSetup fitToHeight="1" fitToWidth="1" horizontalDpi="300" verticalDpi="300" orientation="portrait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showGridLines="0" workbookViewId="0" topLeftCell="A32">
      <selection activeCell="I46" sqref="I46"/>
    </sheetView>
  </sheetViews>
  <sheetFormatPr defaultColWidth="8.88671875" defaultRowHeight="15"/>
  <cols>
    <col min="1" max="1" width="6.3359375" style="0" customWidth="1"/>
    <col min="2" max="2" width="15.6640625" style="0" customWidth="1"/>
    <col min="3" max="3" width="25.6640625" style="0" customWidth="1"/>
    <col min="4" max="4" width="3.3359375" style="0" customWidth="1"/>
    <col min="5" max="5" width="6.5546875" style="0" customWidth="1"/>
    <col min="6" max="6" width="9.77734375" style="0" customWidth="1"/>
    <col min="7" max="7" width="5.5546875" style="0" customWidth="1"/>
    <col min="8" max="8" width="7.10546875" style="0" customWidth="1"/>
    <col min="9" max="9" width="8.10546875" style="0" customWidth="1"/>
    <col min="10" max="10" width="6.3359375" style="0" customWidth="1"/>
    <col min="11" max="11" width="1.77734375" style="0" customWidth="1"/>
    <col min="12" max="12" width="20.5546875" style="0" customWidth="1"/>
  </cols>
  <sheetData>
    <row r="1" spans="1:10" ht="30">
      <c r="A1" s="111" t="s">
        <v>0</v>
      </c>
      <c r="B1" s="112"/>
      <c r="C1" s="112"/>
      <c r="D1" s="112"/>
      <c r="E1" s="112"/>
      <c r="F1" s="112"/>
      <c r="G1" s="112"/>
      <c r="H1" s="112"/>
      <c r="I1" s="112"/>
      <c r="J1" s="113"/>
    </row>
    <row r="2" spans="1:10" ht="16.5" thickBot="1">
      <c r="A2" s="90" t="s">
        <v>72</v>
      </c>
      <c r="B2" s="91"/>
      <c r="C2" s="91"/>
      <c r="D2" s="92"/>
      <c r="E2" s="92"/>
      <c r="F2" s="92"/>
      <c r="G2" s="92"/>
      <c r="H2" s="92"/>
      <c r="I2" s="92"/>
      <c r="J2" s="93"/>
    </row>
    <row r="3" spans="1:10" ht="15.75">
      <c r="A3" s="94" t="s">
        <v>119</v>
      </c>
      <c r="B3" s="95"/>
      <c r="C3" s="339">
        <f>+'Character Record'!B4</f>
        <v>0</v>
      </c>
      <c r="D3" s="186"/>
      <c r="E3" s="185"/>
      <c r="F3" s="187"/>
      <c r="G3" s="186"/>
      <c r="H3" s="185"/>
      <c r="I3" s="185"/>
      <c r="J3" s="188"/>
    </row>
    <row r="4" spans="1:10" ht="16.5" thickBot="1">
      <c r="A4" s="96" t="s">
        <v>73</v>
      </c>
      <c r="B4" s="189"/>
      <c r="C4" s="190" t="str">
        <f>+IF(+'Character Record'!B12&lt;&gt;"",+'Character Record'!B12,"")</f>
        <v>Air Magic's</v>
      </c>
      <c r="D4" s="191"/>
      <c r="E4" s="191"/>
      <c r="F4" s="191"/>
      <c r="G4" s="191"/>
      <c r="H4" s="191"/>
      <c r="I4" s="191"/>
      <c r="J4" s="192"/>
    </row>
    <row r="5" spans="1:10" ht="15.75">
      <c r="A5" s="48" t="s">
        <v>74</v>
      </c>
      <c r="B5" s="136"/>
      <c r="C5" s="193"/>
      <c r="D5" s="281"/>
      <c r="E5" s="281"/>
      <c r="F5" s="281"/>
      <c r="G5" s="281"/>
      <c r="H5" s="281"/>
      <c r="I5" s="281"/>
      <c r="J5" s="282"/>
    </row>
    <row r="6" spans="1:10" ht="15">
      <c r="A6" s="98"/>
      <c r="B6" s="99"/>
      <c r="C6" s="194"/>
      <c r="D6" s="221"/>
      <c r="E6" s="221"/>
      <c r="F6" s="221"/>
      <c r="G6" s="221"/>
      <c r="H6" s="221"/>
      <c r="I6" s="221"/>
      <c r="J6" s="265"/>
    </row>
    <row r="7" spans="1:10" ht="15">
      <c r="A7" s="98"/>
      <c r="B7" s="99"/>
      <c r="C7" s="195"/>
      <c r="D7" s="283"/>
      <c r="E7" s="283"/>
      <c r="F7" s="283"/>
      <c r="G7" s="283"/>
      <c r="H7" s="283"/>
      <c r="I7" s="283"/>
      <c r="J7" s="284"/>
    </row>
    <row r="8" spans="1:10" ht="15">
      <c r="A8" s="196"/>
      <c r="B8" s="1"/>
      <c r="C8" s="195"/>
      <c r="D8" s="221"/>
      <c r="E8" s="221"/>
      <c r="F8" s="221"/>
      <c r="G8" s="221"/>
      <c r="H8" s="221"/>
      <c r="I8" s="221"/>
      <c r="J8" s="265"/>
    </row>
    <row r="9" spans="1:10" ht="15">
      <c r="A9" s="196"/>
      <c r="B9" s="1"/>
      <c r="C9" s="195"/>
      <c r="D9" s="221"/>
      <c r="E9" s="221"/>
      <c r="F9" s="221"/>
      <c r="G9" s="221"/>
      <c r="H9" s="221"/>
      <c r="I9" s="221"/>
      <c r="J9" s="265"/>
    </row>
    <row r="10" spans="1:12" ht="18.75" thickBot="1">
      <c r="A10" s="197"/>
      <c r="B10" s="92"/>
      <c r="C10" s="198"/>
      <c r="D10" s="250"/>
      <c r="E10" s="250"/>
      <c r="F10" s="250"/>
      <c r="G10" s="250"/>
      <c r="H10" s="250"/>
      <c r="I10" s="250"/>
      <c r="J10" s="280"/>
      <c r="L10" s="100" t="s">
        <v>40</v>
      </c>
    </row>
    <row r="11" spans="1:12" ht="18">
      <c r="A11" s="206" t="s">
        <v>75</v>
      </c>
      <c r="B11" s="207" t="s">
        <v>76</v>
      </c>
      <c r="C11" s="207" t="s">
        <v>77</v>
      </c>
      <c r="D11" s="208" t="s">
        <v>78</v>
      </c>
      <c r="E11" s="208" t="s">
        <v>80</v>
      </c>
      <c r="F11" s="208" t="s">
        <v>114</v>
      </c>
      <c r="G11" s="208" t="s">
        <v>115</v>
      </c>
      <c r="H11" s="208" t="s">
        <v>154</v>
      </c>
      <c r="I11" s="208" t="s">
        <v>84</v>
      </c>
      <c r="J11" s="209" t="s">
        <v>79</v>
      </c>
      <c r="L11" s="101" t="s">
        <v>46</v>
      </c>
    </row>
    <row r="12" spans="1:12" s="102" customFormat="1" ht="18">
      <c r="A12" s="115" t="s">
        <v>95</v>
      </c>
      <c r="B12" s="145" t="s">
        <v>153</v>
      </c>
      <c r="C12" s="145"/>
      <c r="D12" s="116">
        <v>100</v>
      </c>
      <c r="E12" s="116" t="str">
        <f>"-"</f>
        <v>-</v>
      </c>
      <c r="F12" s="142" t="str">
        <f>"-"</f>
        <v>-</v>
      </c>
      <c r="G12" s="116">
        <v>75</v>
      </c>
      <c r="H12" s="141" t="s">
        <v>155</v>
      </c>
      <c r="I12" s="337" t="s">
        <v>155</v>
      </c>
      <c r="J12" s="212" t="s">
        <v>156</v>
      </c>
      <c r="L12" s="87"/>
    </row>
    <row r="13" spans="1:12" s="102" customFormat="1" ht="18">
      <c r="A13" s="115" t="s">
        <v>96</v>
      </c>
      <c r="B13" s="145" t="s">
        <v>157</v>
      </c>
      <c r="C13" s="145" t="str">
        <f>"may detect fumes "&amp;'Character Record'!J4+'Magic Record'!D13*3&amp;"%"</f>
        <v>may detect fumes 311%</v>
      </c>
      <c r="D13" s="116">
        <v>100</v>
      </c>
      <c r="E13" s="213" t="str">
        <f>10+10*D13&amp;"'"</f>
        <v>1010'</v>
      </c>
      <c r="F13" s="142" t="str">
        <f>"-"</f>
        <v>-</v>
      </c>
      <c r="G13" s="116">
        <v>100</v>
      </c>
      <c r="H13" s="141" t="s">
        <v>155</v>
      </c>
      <c r="I13" s="338" t="s">
        <v>155</v>
      </c>
      <c r="J13" s="212" t="s">
        <v>156</v>
      </c>
      <c r="L13" s="87"/>
    </row>
    <row r="14" spans="1:12" s="102" customFormat="1" ht="18">
      <c r="A14" s="115" t="s">
        <v>147</v>
      </c>
      <c r="B14" s="145" t="s">
        <v>158</v>
      </c>
      <c r="C14" s="145" t="s">
        <v>159</v>
      </c>
      <c r="D14" s="116">
        <v>100</v>
      </c>
      <c r="E14" s="116" t="s">
        <v>160</v>
      </c>
      <c r="F14" s="142" t="str">
        <f>"-"</f>
        <v>-</v>
      </c>
      <c r="G14" s="116">
        <v>50</v>
      </c>
      <c r="H14" s="123">
        <v>30</v>
      </c>
      <c r="I14" s="330">
        <f>H14+D14*4+'Character Record'!L41</f>
        <v>530</v>
      </c>
      <c r="J14" s="212" t="s">
        <v>156</v>
      </c>
      <c r="L14" s="87"/>
    </row>
    <row r="15" spans="1:12" s="102" customFormat="1" ht="18">
      <c r="A15" s="115" t="s">
        <v>97</v>
      </c>
      <c r="B15" s="145" t="s">
        <v>161</v>
      </c>
      <c r="C15" s="145" t="str">
        <f>+IF(D15&lt;&gt;"","Calm a area of "&amp;10+(10*D15)&amp;"' cubic feet","")</f>
        <v>Calm a area of 1010' cubic feet</v>
      </c>
      <c r="D15" s="116">
        <v>100</v>
      </c>
      <c r="E15" s="213" t="str">
        <f>50+50*D15&amp;"'"</f>
        <v>5050'</v>
      </c>
      <c r="F15" s="213" t="str">
        <f>15+15*D15&amp;" minutes"</f>
        <v>1515 minutes</v>
      </c>
      <c r="G15" s="116">
        <v>100</v>
      </c>
      <c r="H15" s="123">
        <v>50</v>
      </c>
      <c r="I15" s="330">
        <f>H15+D15*3+'Character Record'!N2-15+'Character Record'!L41</f>
        <v>535</v>
      </c>
      <c r="J15" s="212" t="s">
        <v>156</v>
      </c>
      <c r="L15" s="87"/>
    </row>
    <row r="16" spans="1:12" s="102" customFormat="1" ht="18">
      <c r="A16" s="115" t="s">
        <v>98</v>
      </c>
      <c r="B16" s="145" t="s">
        <v>162</v>
      </c>
      <c r="C16" s="145" t="s">
        <v>163</v>
      </c>
      <c r="D16" s="116">
        <v>100</v>
      </c>
      <c r="E16" s="213" t="str">
        <f>10+10*D16&amp;"'"</f>
        <v>1010'</v>
      </c>
      <c r="F16" s="213" t="str">
        <f>30+30*D16&amp;" minutes"</f>
        <v>3030 minutes</v>
      </c>
      <c r="G16" s="116">
        <v>200</v>
      </c>
      <c r="H16" s="123">
        <v>40</v>
      </c>
      <c r="I16" s="330">
        <f>H16+D16*3+'Character Record'!N2-15+'Character Record'!L41</f>
        <v>525</v>
      </c>
      <c r="J16" s="212" t="s">
        <v>156</v>
      </c>
      <c r="L16" s="87"/>
    </row>
    <row r="17" spans="1:12" s="102" customFormat="1" ht="18">
      <c r="A17" s="115" t="s">
        <v>99</v>
      </c>
      <c r="B17" s="145" t="s">
        <v>164</v>
      </c>
      <c r="C17" s="145" t="str">
        <f>"increase speed up to "&amp;5+D17&amp;" MPH"</f>
        <v>increase speed up to 105 MPH</v>
      </c>
      <c r="D17" s="116">
        <v>100</v>
      </c>
      <c r="E17" s="213" t="str">
        <f>10+10*D17&amp;"'"</f>
        <v>1010'</v>
      </c>
      <c r="F17" s="213" t="str">
        <f>1+1*D17&amp;" hour"</f>
        <v>101 hour</v>
      </c>
      <c r="G17" s="116">
        <v>125</v>
      </c>
      <c r="H17" s="123">
        <v>30</v>
      </c>
      <c r="I17" s="330">
        <f>H17+D17*3+'Character Record'!N2-15+'Character Record'!L41</f>
        <v>515</v>
      </c>
      <c r="J17" s="212" t="s">
        <v>156</v>
      </c>
      <c r="L17" s="87"/>
    </row>
    <row r="18" spans="1:12" s="102" customFormat="1" ht="18">
      <c r="A18" s="115" t="s">
        <v>100</v>
      </c>
      <c r="B18" s="145" t="s">
        <v>165</v>
      </c>
      <c r="C18" s="145" t="str">
        <f>+IF(D18&lt;&gt;"","Create Mist "&amp;1000+(500*D18)&amp;"' cubic feet","")</f>
        <v>Create Mist 51000' cubic feet</v>
      </c>
      <c r="D18" s="116">
        <v>100</v>
      </c>
      <c r="E18" s="213" t="str">
        <f>20+20*D18&amp;"'"</f>
        <v>2020'</v>
      </c>
      <c r="F18" s="213" t="str">
        <f>10+10*D18&amp;" minutes"</f>
        <v>1010 minutes</v>
      </c>
      <c r="G18" s="116">
        <v>100</v>
      </c>
      <c r="H18" s="123">
        <v>20</v>
      </c>
      <c r="I18" s="330">
        <f>H18+D18*3+'Character Record'!N2-15+'Character Record'!L41</f>
        <v>505</v>
      </c>
      <c r="J18" s="212" t="s">
        <v>156</v>
      </c>
      <c r="L18" s="87"/>
    </row>
    <row r="19" spans="1:15" s="102" customFormat="1" ht="18">
      <c r="A19" s="115" t="s">
        <v>101</v>
      </c>
      <c r="B19" s="145" t="s">
        <v>166</v>
      </c>
      <c r="C19" s="137" t="s">
        <v>167</v>
      </c>
      <c r="D19" s="116">
        <v>100</v>
      </c>
      <c r="E19" s="213" t="str">
        <f>10+10*D19&amp;"'"</f>
        <v>1010'</v>
      </c>
      <c r="F19" s="213" t="str">
        <f>1+1*D19&amp;" hour"</f>
        <v>101 hour</v>
      </c>
      <c r="G19" s="116">
        <v>75</v>
      </c>
      <c r="H19" s="123">
        <v>50</v>
      </c>
      <c r="I19" s="330">
        <f>H19+D19*3+'Character Record'!N2-15+'Character Record'!L41</f>
        <v>535</v>
      </c>
      <c r="J19" s="212" t="s">
        <v>156</v>
      </c>
      <c r="L19" s="87"/>
      <c r="O19" s="102" t="s">
        <v>87</v>
      </c>
    </row>
    <row r="20" spans="1:12" s="102" customFormat="1" ht="18">
      <c r="A20" s="115" t="s">
        <v>102</v>
      </c>
      <c r="B20" s="145" t="s">
        <v>168</v>
      </c>
      <c r="C20" s="145" t="s">
        <v>169</v>
      </c>
      <c r="D20" s="116">
        <v>100</v>
      </c>
      <c r="E20" s="116" t="s">
        <v>170</v>
      </c>
      <c r="F20" s="213" t="str">
        <f>60+30*D20&amp;" minutes"</f>
        <v>3060 minutes</v>
      </c>
      <c r="G20" s="116">
        <v>200</v>
      </c>
      <c r="H20" s="123">
        <v>40</v>
      </c>
      <c r="I20" s="330">
        <f>H20+D20*3+'Character Record'!N2-15+'Character Record'!L41</f>
        <v>525</v>
      </c>
      <c r="J20" s="212" t="s">
        <v>156</v>
      </c>
      <c r="L20" s="87"/>
    </row>
    <row r="21" spans="1:12" s="102" customFormat="1" ht="18">
      <c r="A21" s="115" t="s">
        <v>103</v>
      </c>
      <c r="B21" s="145" t="s">
        <v>171</v>
      </c>
      <c r="C21" s="145" t="str">
        <f>"Summons "&amp;D21&amp;" avain"</f>
        <v>Summons 100 avain</v>
      </c>
      <c r="D21" s="116">
        <v>100</v>
      </c>
      <c r="E21" s="116" t="s">
        <v>172</v>
      </c>
      <c r="F21" s="116" t="s">
        <v>173</v>
      </c>
      <c r="G21" s="116">
        <v>125</v>
      </c>
      <c r="H21" s="123">
        <v>30</v>
      </c>
      <c r="I21" s="330">
        <f>H21+D21*3+'Character Record'!N2-15+'Character Record'!L41</f>
        <v>515</v>
      </c>
      <c r="J21" s="212" t="s">
        <v>174</v>
      </c>
      <c r="L21" s="87"/>
    </row>
    <row r="22" spans="1:12" s="102" customFormat="1" ht="18">
      <c r="A22" s="115" t="s">
        <v>116</v>
      </c>
      <c r="B22" s="145" t="s">
        <v>175</v>
      </c>
      <c r="C22" s="145" t="s">
        <v>176</v>
      </c>
      <c r="D22" s="116">
        <v>100</v>
      </c>
      <c r="E22" s="213" t="str">
        <f>10+10*D22&amp;"'"</f>
        <v>1010'</v>
      </c>
      <c r="F22" s="213" t="str">
        <f>30+30*D22&amp;" minutes"</f>
        <v>3030 minutes</v>
      </c>
      <c r="G22" s="116">
        <v>150</v>
      </c>
      <c r="H22" s="123">
        <v>35</v>
      </c>
      <c r="I22" s="330">
        <f>H22+D22*3+'Character Record'!N2-15+'Character Record'!L41</f>
        <v>520</v>
      </c>
      <c r="J22" s="212" t="s">
        <v>174</v>
      </c>
      <c r="L22" s="87"/>
    </row>
    <row r="23" spans="1:12" s="102" customFormat="1" ht="18">
      <c r="A23" s="115" t="s">
        <v>117</v>
      </c>
      <c r="B23" s="145" t="s">
        <v>177</v>
      </c>
      <c r="C23" s="145" t="str">
        <f>+IF(D23&lt;&gt;"","Create wind "&amp;100+(100*D23)&amp;"' diameter","")</f>
        <v>Create wind 10100' diameter</v>
      </c>
      <c r="D23" s="116">
        <v>100</v>
      </c>
      <c r="E23" s="116" t="s">
        <v>170</v>
      </c>
      <c r="F23" s="116" t="s">
        <v>170</v>
      </c>
      <c r="G23" s="116">
        <v>125</v>
      </c>
      <c r="H23" s="123">
        <v>40</v>
      </c>
      <c r="I23" s="330">
        <f>H23+D23*3+'Character Record'!N2-15+'Character Record'!L41</f>
        <v>525</v>
      </c>
      <c r="J23" s="212" t="s">
        <v>156</v>
      </c>
      <c r="L23" s="87"/>
    </row>
    <row r="24" spans="1:12" s="102" customFormat="1" ht="18">
      <c r="A24" s="115" t="s">
        <v>104</v>
      </c>
      <c r="B24" s="145" t="s">
        <v>178</v>
      </c>
      <c r="C24" s="145" t="s">
        <v>179</v>
      </c>
      <c r="D24" s="116">
        <v>100</v>
      </c>
      <c r="E24" s="213" t="str">
        <f>400+400*D24&amp;"'"</f>
        <v>40400'</v>
      </c>
      <c r="F24" s="213" t="str">
        <f>1+1*D24&amp;" hour"</f>
        <v>101 hour</v>
      </c>
      <c r="G24" s="116">
        <v>150</v>
      </c>
      <c r="H24" s="123">
        <f>'Character Record'!N2*2</f>
        <v>200</v>
      </c>
      <c r="I24" s="330">
        <f>H24+D24*3+'Character Record'!L41</f>
        <v>600</v>
      </c>
      <c r="J24" s="212" t="s">
        <v>156</v>
      </c>
      <c r="L24" s="87"/>
    </row>
    <row r="25" spans="1:12" s="102" customFormat="1" ht="18">
      <c r="A25" s="115" t="s">
        <v>121</v>
      </c>
      <c r="B25" s="145" t="s">
        <v>180</v>
      </c>
      <c r="C25" s="143" t="str">
        <f>"If target is less than "&amp;100+D25*20&amp;"lbs."&amp;"suffer D+"&amp;((ROUNDDOWN(D25/3,0)))-5</f>
        <v>If target is less than 2100lbs.suffer D+28</v>
      </c>
      <c r="D25" s="116">
        <v>100</v>
      </c>
      <c r="E25" s="213" t="str">
        <f>10+10*D25&amp;"'"</f>
        <v>1010'</v>
      </c>
      <c r="F25" s="116" t="s">
        <v>173</v>
      </c>
      <c r="G25" s="116">
        <v>200</v>
      </c>
      <c r="H25" s="123">
        <v>30</v>
      </c>
      <c r="I25" s="330">
        <f>H25+D25*3+'Character Record'!N2-15+'Character Record'!L41</f>
        <v>515</v>
      </c>
      <c r="J25" s="212" t="s">
        <v>174</v>
      </c>
      <c r="L25" s="87"/>
    </row>
    <row r="26" spans="1:12" s="102" customFormat="1" ht="18">
      <c r="A26" s="115" t="s">
        <v>131</v>
      </c>
      <c r="B26" s="145" t="s">
        <v>181</v>
      </c>
      <c r="C26" s="143" t="str">
        <f>"Increase strike chase by "&amp;2+D26&amp;"% for arrows"</f>
        <v>Increase strike chase by 102% for arrows</v>
      </c>
      <c r="D26" s="116">
        <v>100</v>
      </c>
      <c r="E26" s="116" t="s">
        <v>182</v>
      </c>
      <c r="F26" s="213" t="str">
        <f>20+20*D26&amp;" minutes"</f>
        <v>2020 minutes</v>
      </c>
      <c r="G26" s="116">
        <v>200</v>
      </c>
      <c r="H26" s="123">
        <v>35</v>
      </c>
      <c r="I26" s="330">
        <f>H26+D26*3+'Character Record'!N2-15+'Character Record'!L41</f>
        <v>520</v>
      </c>
      <c r="J26" s="212" t="s">
        <v>156</v>
      </c>
      <c r="L26" s="87"/>
    </row>
    <row r="27" spans="1:12" s="102" customFormat="1" ht="18">
      <c r="A27" s="115" t="s">
        <v>125</v>
      </c>
      <c r="B27" s="145" t="s">
        <v>183</v>
      </c>
      <c r="C27" s="210" t="str">
        <f>"may control "&amp;1+D27&amp;" avians within range"</f>
        <v>may control 101 avians within range</v>
      </c>
      <c r="D27" s="116">
        <v>100</v>
      </c>
      <c r="E27" s="213" t="str">
        <f>100+100*D27&amp;"'"</f>
        <v>10100'</v>
      </c>
      <c r="F27" s="213" t="str">
        <f>10+10*D27&amp;" minutes"</f>
        <v>1010 minutes</v>
      </c>
      <c r="G27" s="116">
        <v>200</v>
      </c>
      <c r="H27" s="123">
        <v>20</v>
      </c>
      <c r="I27" s="330">
        <f>H27+D27*3+'Character Record'!N2-15+'Character Record'!L41</f>
        <v>505</v>
      </c>
      <c r="J27" s="212" t="s">
        <v>174</v>
      </c>
      <c r="L27" s="87"/>
    </row>
    <row r="28" spans="1:12" s="102" customFormat="1" ht="18">
      <c r="A28" s="115" t="s">
        <v>126</v>
      </c>
      <c r="B28" s="145" t="s">
        <v>184</v>
      </c>
      <c r="C28" s="210" t="str">
        <f>"range DEF+"&amp;5+D28*2&amp;"% melee DEF+"&amp;5+D28&amp;"%"</f>
        <v>range DEF+205% melee DEF+105%</v>
      </c>
      <c r="D28" s="116">
        <v>100</v>
      </c>
      <c r="E28" s="213" t="str">
        <f>5+1*D28&amp;"'"</f>
        <v>105'</v>
      </c>
      <c r="F28" s="213" t="str">
        <f>30+30*D28&amp;" minutes"</f>
        <v>3030 minutes</v>
      </c>
      <c r="G28" s="116">
        <v>150</v>
      </c>
      <c r="H28" s="123">
        <v>30</v>
      </c>
      <c r="I28" s="330">
        <f>H28+D28*3+'Character Record'!N2-15+'Character Record'!L41</f>
        <v>515</v>
      </c>
      <c r="J28" s="212" t="s">
        <v>156</v>
      </c>
      <c r="L28" s="87"/>
    </row>
    <row r="29" spans="1:12" s="102" customFormat="1" ht="18">
      <c r="A29" s="115" t="s">
        <v>127</v>
      </c>
      <c r="B29" s="145" t="s">
        <v>185</v>
      </c>
      <c r="C29" s="145" t="str">
        <f>+IF(D29&lt;&gt;"","Conjures "&amp;5+(5*D29)&amp;"' cubic feet of sweet air","")</f>
        <v>Conjures 505' cubic feet of sweet air</v>
      </c>
      <c r="D29" s="116">
        <v>100</v>
      </c>
      <c r="E29" s="213" t="str">
        <f>10+10*D29&amp;"'"</f>
        <v>1010'</v>
      </c>
      <c r="F29" s="213" t="str">
        <f>10+10*D29&amp;" minutes"</f>
        <v>1010 minutes</v>
      </c>
      <c r="G29" s="116">
        <v>150</v>
      </c>
      <c r="H29" s="123">
        <v>25</v>
      </c>
      <c r="I29" s="330">
        <f>H29+D29*3+'Character Record'!N2-15+'Character Record'!L41</f>
        <v>510</v>
      </c>
      <c r="J29" s="212" t="s">
        <v>156</v>
      </c>
      <c r="L29" s="87"/>
    </row>
    <row r="30" spans="1:12" s="102" customFormat="1" ht="18">
      <c r="A30" s="115" t="s">
        <v>128</v>
      </c>
      <c r="B30" s="145" t="s">
        <v>93</v>
      </c>
      <c r="C30" s="210" t="str">
        <f>"Fly at "&amp;30+D30&amp;"MPH"</f>
        <v>Fly at 130MPH</v>
      </c>
      <c r="D30" s="116">
        <v>100</v>
      </c>
      <c r="E30" s="213" t="str">
        <f>5+5*D30&amp;"'"</f>
        <v>505'</v>
      </c>
      <c r="F30" s="213" t="str">
        <f>30+30*D30&amp;" minutes"</f>
        <v>3030 minutes</v>
      </c>
      <c r="G30" s="116">
        <v>250</v>
      </c>
      <c r="H30" s="123">
        <v>30</v>
      </c>
      <c r="I30" s="330">
        <f>H30+D30*3+'Character Record'!N2-15+'Character Record'!L41</f>
        <v>515</v>
      </c>
      <c r="J30" s="212" t="s">
        <v>174</v>
      </c>
      <c r="L30" s="87"/>
    </row>
    <row r="31" spans="1:12" s="102" customFormat="1" ht="18">
      <c r="A31" s="115" t="s">
        <v>129</v>
      </c>
      <c r="B31" s="145" t="s">
        <v>186</v>
      </c>
      <c r="C31" s="210" t="s">
        <v>187</v>
      </c>
      <c r="D31" s="116">
        <v>100</v>
      </c>
      <c r="E31" s="116" t="s">
        <v>188</v>
      </c>
      <c r="F31" s="213" t="str">
        <f>5+(5*((ROUNDDOWN(D31,0))))&amp;" seconds"</f>
        <v>505 seconds</v>
      </c>
      <c r="G31" s="116">
        <v>300</v>
      </c>
      <c r="H31" s="123">
        <v>20</v>
      </c>
      <c r="I31" s="330">
        <f>H31+D31*3+'Character Record'!N2-15+'Character Record'!L41</f>
        <v>505</v>
      </c>
      <c r="J31" s="212" t="s">
        <v>174</v>
      </c>
      <c r="L31" s="87"/>
    </row>
    <row r="32" spans="1:12" s="102" customFormat="1" ht="18">
      <c r="A32" s="115" t="s">
        <v>130</v>
      </c>
      <c r="B32" s="145" t="s">
        <v>189</v>
      </c>
      <c r="C32" s="210" t="s">
        <v>190</v>
      </c>
      <c r="D32" s="116">
        <v>100</v>
      </c>
      <c r="E32" s="213" t="str">
        <f>5+5*D32&amp;"'"</f>
        <v>505'</v>
      </c>
      <c r="F32" s="213" t="str">
        <f>5+5*D32&amp;" minutes"</f>
        <v>505 minutes</v>
      </c>
      <c r="G32" s="116">
        <v>200</v>
      </c>
      <c r="H32" s="123">
        <v>30</v>
      </c>
      <c r="I32" s="330">
        <f>H32+D32*3+'Character Record'!N2-15+'Character Record'!L41</f>
        <v>515</v>
      </c>
      <c r="J32" s="212" t="s">
        <v>156</v>
      </c>
      <c r="L32" s="87"/>
    </row>
    <row r="33" spans="1:12" s="102" customFormat="1" ht="18">
      <c r="A33" s="115" t="s">
        <v>122</v>
      </c>
      <c r="B33" s="145" t="s">
        <v>191</v>
      </c>
      <c r="C33" s="210" t="str">
        <f>"creates heavy cloud "&amp;10+D33&amp;"ft above the ground "&amp;15+D33*5&amp;"ft diamter"</f>
        <v>creates heavy cloud 110ft above the ground 515ft diamter</v>
      </c>
      <c r="D33" s="116">
        <v>100</v>
      </c>
      <c r="E33" s="213" t="str">
        <f>30+10*D33&amp;"'"</f>
        <v>1030'</v>
      </c>
      <c r="F33" s="213" t="str">
        <f>5+5*D33&amp;" minutes"</f>
        <v>505 minutes</v>
      </c>
      <c r="G33" s="116">
        <v>450</v>
      </c>
      <c r="H33" s="123">
        <v>15</v>
      </c>
      <c r="I33" s="330">
        <f>H33+D33*3+'Character Record'!N2-15+'Character Record'!L41</f>
        <v>500</v>
      </c>
      <c r="J33" s="212" t="s">
        <v>174</v>
      </c>
      <c r="L33" s="87"/>
    </row>
    <row r="34" spans="1:12" s="102" customFormat="1" ht="18">
      <c r="A34" s="115" t="s">
        <v>140</v>
      </c>
      <c r="B34" s="145" t="s">
        <v>192</v>
      </c>
      <c r="C34" s="210" t="str">
        <f>"Lighting Bolt D+ "&amp;5+(ROUNDDOWN(D34/3,0))&amp;" &amp; stuns"</f>
        <v>Lighting Bolt D+ 38 &amp; stuns</v>
      </c>
      <c r="D34" s="116">
        <v>100</v>
      </c>
      <c r="E34" s="116" t="s">
        <v>193</v>
      </c>
      <c r="F34" s="142" t="s">
        <v>173</v>
      </c>
      <c r="G34" s="116">
        <v>225</v>
      </c>
      <c r="H34" s="123">
        <v>30</v>
      </c>
      <c r="I34" s="330">
        <f>H34+D34*3+'Character Record'!N2-15+'Character Record'!L41</f>
        <v>515</v>
      </c>
      <c r="J34" s="212" t="s">
        <v>174</v>
      </c>
      <c r="L34" s="87"/>
    </row>
    <row r="35" spans="1:12" s="102" customFormat="1" ht="18">
      <c r="A35" s="115" t="s">
        <v>141</v>
      </c>
      <c r="B35" s="143" t="s">
        <v>194</v>
      </c>
      <c r="C35" s="210" t="str">
        <f>"when struck in combat the hitter takeD+"&amp;(ROUNDDOWN(D35/2,0))-4</f>
        <v>when struck in combat the hitter takeD+46</v>
      </c>
      <c r="D35" s="116">
        <v>100</v>
      </c>
      <c r="E35" s="213" t="str">
        <f>15+15*D35&amp;"'"</f>
        <v>1515'</v>
      </c>
      <c r="F35" s="213" t="str">
        <f>30+30*D35&amp;" minutes"</f>
        <v>3030 minutes</v>
      </c>
      <c r="G35" s="116">
        <v>250</v>
      </c>
      <c r="H35" s="123">
        <v>35</v>
      </c>
      <c r="I35" s="330">
        <f>H35+D35*3+'Character Record'!N2-15+'Character Record'!L41</f>
        <v>520</v>
      </c>
      <c r="J35" s="212" t="s">
        <v>174</v>
      </c>
      <c r="L35" s="87"/>
    </row>
    <row r="36" spans="1:12" s="102" customFormat="1" ht="18">
      <c r="A36" s="115" t="s">
        <v>142</v>
      </c>
      <c r="B36" s="145" t="s">
        <v>195</v>
      </c>
      <c r="C36" s="210" t="s">
        <v>196</v>
      </c>
      <c r="D36" s="116">
        <v>100</v>
      </c>
      <c r="E36" s="214" t="s">
        <v>197</v>
      </c>
      <c r="F36" s="213" t="str">
        <f>1+1*D36&amp;" hour"</f>
        <v>101 hour</v>
      </c>
      <c r="G36" s="116">
        <v>100</v>
      </c>
      <c r="H36" s="123">
        <v>40</v>
      </c>
      <c r="I36" s="330">
        <f>H36+D36*3+'Character Record'!N2-15+'Character Record'!L41</f>
        <v>525</v>
      </c>
      <c r="J36" s="212" t="s">
        <v>156</v>
      </c>
      <c r="L36" s="87"/>
    </row>
    <row r="37" spans="1:12" s="102" customFormat="1" ht="18">
      <c r="A37" s="115" t="s">
        <v>143</v>
      </c>
      <c r="B37" s="145" t="s">
        <v>198</v>
      </c>
      <c r="C37" s="210" t="s">
        <v>199</v>
      </c>
      <c r="D37" s="116">
        <v>100</v>
      </c>
      <c r="E37" s="213" t="str">
        <f>5+1*D37&amp;" miles"</f>
        <v>105 miles</v>
      </c>
      <c r="F37" s="213" t="str">
        <f>1+1*D37&amp;" minutes"</f>
        <v>101 minutes</v>
      </c>
      <c r="G37" s="116">
        <v>150</v>
      </c>
      <c r="H37" s="123">
        <v>40</v>
      </c>
      <c r="I37" s="330">
        <f>H37+D37*3+'Character Record'!N2-15+'Character Record'!L41</f>
        <v>525</v>
      </c>
      <c r="J37" s="212" t="s">
        <v>156</v>
      </c>
      <c r="L37" s="87"/>
    </row>
    <row r="38" spans="1:12" s="102" customFormat="1" ht="18">
      <c r="A38" s="115" t="s">
        <v>144</v>
      </c>
      <c r="B38" s="145" t="s">
        <v>200</v>
      </c>
      <c r="C38" s="210" t="str">
        <f>"Creates "&amp;(ROUNDUP(D38/3,0))&amp;" tornados around a human size target"</f>
        <v>Creates 34 tornados around a human size target</v>
      </c>
      <c r="D38" s="116">
        <v>100</v>
      </c>
      <c r="E38" s="213" t="str">
        <f>15+15*D38&amp;"'"</f>
        <v>1515'</v>
      </c>
      <c r="F38" s="116" t="s">
        <v>173</v>
      </c>
      <c r="G38" s="116">
        <v>650</v>
      </c>
      <c r="H38" s="123">
        <v>1</v>
      </c>
      <c r="I38" s="330">
        <f>H38+D38*3+'Character Record'!N2-15+'Character Record'!L41</f>
        <v>486</v>
      </c>
      <c r="J38" s="212" t="s">
        <v>174</v>
      </c>
      <c r="L38" s="87"/>
    </row>
    <row r="39" spans="1:12" s="102" customFormat="1" ht="18">
      <c r="A39" s="115" t="s">
        <v>148</v>
      </c>
      <c r="B39" s="145" t="s">
        <v>201</v>
      </c>
      <c r="C39" s="210" t="str">
        <f>"sends a message that is up to "&amp;5*D39&amp;" words"</f>
        <v>sends a message that is up to 500 words</v>
      </c>
      <c r="D39" s="116">
        <v>100</v>
      </c>
      <c r="E39" s="213" t="str">
        <f>100+100*D39&amp;" miles"</f>
        <v>10100 miles</v>
      </c>
      <c r="F39" s="116" t="s">
        <v>170</v>
      </c>
      <c r="G39" s="116">
        <v>150</v>
      </c>
      <c r="H39" s="123">
        <v>40</v>
      </c>
      <c r="I39" s="330">
        <f>H39+D39*3+'Character Record'!N2-15+'Character Record'!L41</f>
        <v>525</v>
      </c>
      <c r="J39" s="212" t="s">
        <v>156</v>
      </c>
      <c r="L39" s="87"/>
    </row>
    <row r="40" spans="1:12" s="102" customFormat="1" ht="18">
      <c r="A40" s="115" t="s">
        <v>149</v>
      </c>
      <c r="B40" s="145" t="s">
        <v>202</v>
      </c>
      <c r="C40" s="210" t="s">
        <v>203</v>
      </c>
      <c r="D40" s="116">
        <v>100</v>
      </c>
      <c r="E40" s="213" t="str">
        <f>30+10*D40&amp;"'"</f>
        <v>1030'</v>
      </c>
      <c r="F40" s="213" t="str">
        <f>10+10*D40&amp;" seconds"</f>
        <v>1010 seconds</v>
      </c>
      <c r="G40" s="116">
        <v>200</v>
      </c>
      <c r="H40" s="123">
        <v>40</v>
      </c>
      <c r="I40" s="330">
        <f>H40+D40*3+'Character Record'!N2-15+'Character Record'!L41</f>
        <v>525</v>
      </c>
      <c r="J40" s="212" t="s">
        <v>156</v>
      </c>
      <c r="L40" s="87"/>
    </row>
    <row r="41" spans="1:12" s="102" customFormat="1" ht="18">
      <c r="A41" s="115" t="s">
        <v>150</v>
      </c>
      <c r="B41" s="145" t="s">
        <v>204</v>
      </c>
      <c r="C41" s="210" t="str">
        <f>"Turn into wind and fly at "&amp;50+D41*5&amp;"MPH"</f>
        <v>Turn into wind and fly at 550MPH</v>
      </c>
      <c r="D41" s="116">
        <v>100</v>
      </c>
      <c r="E41" s="213" t="str">
        <f>10+10*D41&amp;"'"</f>
        <v>1010'</v>
      </c>
      <c r="F41" s="213" t="str">
        <f>30+30*D41&amp;" seconds"</f>
        <v>3030 seconds</v>
      </c>
      <c r="G41" s="116">
        <v>350</v>
      </c>
      <c r="H41" s="123">
        <v>25</v>
      </c>
      <c r="I41" s="330">
        <f>H41+D41*3+'Character Record'!N2-15+'Character Record'!L41</f>
        <v>510</v>
      </c>
      <c r="J41" s="212" t="s">
        <v>174</v>
      </c>
      <c r="L41" s="87"/>
    </row>
    <row r="42" spans="1:12" s="102" customFormat="1" ht="18">
      <c r="A42" s="115" t="s">
        <v>151</v>
      </c>
      <c r="B42" s="143" t="s">
        <v>205</v>
      </c>
      <c r="C42" s="210" t="str">
        <f>"Ball of lighting shots out D+"&amp;D42-1&amp;" &amp; blind for "&amp;(ROUNDDOWN(D42/4,0))&amp;" pulses"</f>
        <v>Ball of lighting shots out D+99 &amp; blind for 25 pulses</v>
      </c>
      <c r="D42" s="116">
        <v>100</v>
      </c>
      <c r="E42" s="213" t="str">
        <f>35+10*D42&amp;"'"</f>
        <v>1035'</v>
      </c>
      <c r="F42" s="116" t="s">
        <v>173</v>
      </c>
      <c r="G42" s="116">
        <v>350</v>
      </c>
      <c r="H42" s="123">
        <v>30</v>
      </c>
      <c r="I42" s="330">
        <f>H42+D42*3+'Character Record'!N2-15+'Character Record'!L41</f>
        <v>515</v>
      </c>
      <c r="J42" s="212" t="s">
        <v>206</v>
      </c>
      <c r="L42" s="87"/>
    </row>
    <row r="43" spans="1:12" s="102" customFormat="1" ht="18">
      <c r="A43" s="115" t="s">
        <v>152</v>
      </c>
      <c r="B43" s="143" t="s">
        <v>207</v>
      </c>
      <c r="C43" s="210" t="s">
        <v>208</v>
      </c>
      <c r="D43" s="116">
        <v>100</v>
      </c>
      <c r="E43" s="213" t="str">
        <f>20+20*D43&amp;"'"</f>
        <v>2020'</v>
      </c>
      <c r="F43" s="142" t="s">
        <v>173</v>
      </c>
      <c r="G43" s="116">
        <v>325</v>
      </c>
      <c r="H43" s="123">
        <v>30</v>
      </c>
      <c r="I43" s="330">
        <f>H43+D43*3+'Character Record'!N2-15+'Character Record'!L41</f>
        <v>515</v>
      </c>
      <c r="J43" s="212" t="s">
        <v>206</v>
      </c>
      <c r="L43" s="87"/>
    </row>
    <row r="44" spans="1:12" s="102" customFormat="1" ht="18">
      <c r="A44" s="115"/>
      <c r="B44" s="145"/>
      <c r="C44" s="145"/>
      <c r="D44" s="116"/>
      <c r="E44" s="116"/>
      <c r="F44" s="116"/>
      <c r="G44" s="116"/>
      <c r="H44" s="116"/>
      <c r="I44" s="123">
        <f>+IF(D44&lt;&gt;"",+H44+D44*3+'Character Record'!$N$3-15,"")</f>
      </c>
      <c r="J44" s="117"/>
      <c r="L44" s="87"/>
    </row>
    <row r="45" spans="1:12" s="102" customFormat="1" ht="18">
      <c r="A45" s="115"/>
      <c r="B45" s="145"/>
      <c r="C45" s="145"/>
      <c r="D45" s="116"/>
      <c r="E45" s="116"/>
      <c r="F45" s="116"/>
      <c r="G45" s="116"/>
      <c r="H45" s="116"/>
      <c r="I45" s="123">
        <f>+IF(D45&lt;&gt;"",+H45+D45*3+'Character Record'!$N$3-15,"")</f>
      </c>
      <c r="J45" s="117"/>
      <c r="L45" s="87"/>
    </row>
    <row r="46" spans="1:12" s="102" customFormat="1" ht="18">
      <c r="A46" s="115"/>
      <c r="B46" s="145"/>
      <c r="C46" s="145"/>
      <c r="D46" s="116"/>
      <c r="E46" s="116"/>
      <c r="F46" s="116"/>
      <c r="G46" s="116"/>
      <c r="H46" s="116"/>
      <c r="I46" s="123">
        <f>+IF(D46&lt;&gt;"",+H46+D46*3+'Character Record'!$N$3-15,"")</f>
      </c>
      <c r="J46" s="117"/>
      <c r="L46" s="87"/>
    </row>
    <row r="47" spans="1:12" s="102" customFormat="1" ht="18">
      <c r="A47" s="115"/>
      <c r="B47" s="145"/>
      <c r="C47" s="145"/>
      <c r="D47" s="116"/>
      <c r="E47" s="116"/>
      <c r="F47" s="116"/>
      <c r="G47" s="116"/>
      <c r="H47" s="116"/>
      <c r="I47" s="123">
        <f>+IF(D47&lt;&gt;"",+H47+D47*3+'Character Record'!$N$3-15,"")</f>
      </c>
      <c r="J47" s="117"/>
      <c r="L47" s="87"/>
    </row>
    <row r="48" spans="1:12" s="102" customFormat="1" ht="18.75" thickBot="1">
      <c r="A48" s="199"/>
      <c r="B48" s="200"/>
      <c r="C48" s="169"/>
      <c r="D48" s="170"/>
      <c r="E48" s="170"/>
      <c r="F48" s="170"/>
      <c r="G48" s="170"/>
      <c r="H48" s="170"/>
      <c r="I48" s="172">
        <f>+IF(D48&lt;&gt;"",+H48+D48*3+'Character Record'!$N$3-15,"")</f>
      </c>
      <c r="J48" s="146"/>
      <c r="L48" s="87"/>
    </row>
    <row r="49" spans="1:12" s="102" customFormat="1" ht="18">
      <c r="A49" s="103"/>
      <c r="B49" s="104"/>
      <c r="C49" s="104"/>
      <c r="D49" s="103"/>
      <c r="E49" s="103"/>
      <c r="F49" s="105" t="s">
        <v>81</v>
      </c>
      <c r="G49" s="103"/>
      <c r="H49" s="103"/>
      <c r="I49" s="103"/>
      <c r="J49" s="103"/>
      <c r="L49" s="201">
        <f>SUM(L12:L48)</f>
        <v>0</v>
      </c>
    </row>
    <row r="50" spans="1:12" s="102" customFormat="1" ht="18">
      <c r="A50" s="102" t="s">
        <v>85</v>
      </c>
      <c r="F50" s="105" t="s">
        <v>61</v>
      </c>
      <c r="L50" s="202"/>
    </row>
    <row r="51" spans="1:12" s="102" customFormat="1" ht="18">
      <c r="A51" s="102" t="s">
        <v>86</v>
      </c>
      <c r="F51" s="105" t="s">
        <v>82</v>
      </c>
      <c r="L51" s="203">
        <f>+L49*L50</f>
        <v>0</v>
      </c>
    </row>
    <row r="52" ht="18">
      <c r="L52" s="204"/>
    </row>
    <row r="53" spans="6:12" ht="18">
      <c r="F53" s="106" t="s">
        <v>83</v>
      </c>
      <c r="L53" s="204"/>
    </row>
    <row r="54" spans="6:12" ht="18.75" thickBot="1">
      <c r="F54" s="106" t="s">
        <v>66</v>
      </c>
      <c r="L54" s="205">
        <f>+L51+L53</f>
        <v>0</v>
      </c>
    </row>
    <row r="55" ht="15.75" thickTop="1"/>
  </sheetData>
  <mergeCells count="6">
    <mergeCell ref="D8:J8"/>
    <mergeCell ref="D9:J9"/>
    <mergeCell ref="D10:J10"/>
    <mergeCell ref="D5:J5"/>
    <mergeCell ref="D6:J6"/>
    <mergeCell ref="D7:J7"/>
  </mergeCells>
  <printOptions/>
  <pageMargins left="0.5" right="0.3" top="0.3" bottom="0.3" header="0.5" footer="0.5"/>
  <pageSetup fitToHeight="1" fitToWidth="1" horizontalDpi="300" verticalDpi="3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showGridLines="0" zoomScale="75" zoomScaleNormal="75" workbookViewId="0" topLeftCell="A7">
      <selection activeCell="H7" sqref="H7"/>
    </sheetView>
  </sheetViews>
  <sheetFormatPr defaultColWidth="8.88671875" defaultRowHeight="15"/>
  <cols>
    <col min="1" max="1" width="8.4453125" style="0" customWidth="1"/>
    <col min="2" max="2" width="15.6640625" style="0" customWidth="1"/>
    <col min="3" max="3" width="21.4453125" style="0" customWidth="1"/>
    <col min="4" max="4" width="4.77734375" style="0" customWidth="1"/>
    <col min="5" max="5" width="7.4453125" style="0" customWidth="1"/>
    <col min="6" max="6" width="9.77734375" style="0" customWidth="1"/>
    <col min="7" max="7" width="5.5546875" style="0" customWidth="1"/>
    <col min="8" max="8" width="7.10546875" style="0" customWidth="1"/>
    <col min="9" max="9" width="8.5546875" style="0" customWidth="1"/>
    <col min="10" max="10" width="5.4453125" style="0" customWidth="1"/>
    <col min="11" max="11" width="1.77734375" style="0" customWidth="1"/>
    <col min="12" max="12" width="20.5546875" style="0" customWidth="1"/>
  </cols>
  <sheetData>
    <row r="1" spans="1:10" ht="30">
      <c r="A1" s="111" t="s">
        <v>0</v>
      </c>
      <c r="B1" s="112"/>
      <c r="C1" s="112"/>
      <c r="D1" s="112"/>
      <c r="E1" s="112"/>
      <c r="F1" s="112"/>
      <c r="G1" s="112"/>
      <c r="H1" s="112"/>
      <c r="I1" s="112"/>
      <c r="J1" s="113"/>
    </row>
    <row r="2" spans="1:10" ht="15.75">
      <c r="A2" s="96" t="s">
        <v>132</v>
      </c>
      <c r="B2" s="97"/>
      <c r="C2" s="97"/>
      <c r="D2" s="1"/>
      <c r="E2" s="319"/>
      <c r="F2" s="319"/>
      <c r="G2" s="319"/>
      <c r="H2" s="320"/>
      <c r="I2" s="320"/>
      <c r="J2" s="321"/>
    </row>
    <row r="3" spans="1:10" ht="16.5" thickBot="1">
      <c r="A3" s="157"/>
      <c r="B3" s="158"/>
      <c r="C3" s="159"/>
      <c r="D3" s="160"/>
      <c r="E3" s="159"/>
      <c r="F3" s="161"/>
      <c r="G3" s="160"/>
      <c r="H3" s="159"/>
      <c r="I3" s="159"/>
      <c r="J3" s="162"/>
    </row>
    <row r="4" spans="1:10" ht="15.75">
      <c r="A4" s="322"/>
      <c r="B4" s="323"/>
      <c r="C4" s="323"/>
      <c r="D4" s="323"/>
      <c r="E4" s="323"/>
      <c r="F4" s="323"/>
      <c r="G4" s="323"/>
      <c r="H4" s="323"/>
      <c r="I4" s="323"/>
      <c r="J4" s="324"/>
    </row>
    <row r="5" spans="1:10" ht="15.75">
      <c r="A5" s="325" t="s">
        <v>133</v>
      </c>
      <c r="B5" s="326"/>
      <c r="C5" s="326"/>
      <c r="D5" s="326"/>
      <c r="E5" s="326"/>
      <c r="F5" s="326"/>
      <c r="G5" s="326"/>
      <c r="H5" s="326"/>
      <c r="I5" s="326"/>
      <c r="J5" s="327"/>
    </row>
    <row r="6" spans="1:10" ht="15.75">
      <c r="A6" s="163" t="s">
        <v>134</v>
      </c>
      <c r="B6" s="164" t="s">
        <v>76</v>
      </c>
      <c r="C6" s="164" t="s">
        <v>77</v>
      </c>
      <c r="D6" s="165" t="s">
        <v>78</v>
      </c>
      <c r="E6" s="165" t="s">
        <v>80</v>
      </c>
      <c r="F6" s="165" t="s">
        <v>114</v>
      </c>
      <c r="G6" s="165" t="s">
        <v>37</v>
      </c>
      <c r="H6" s="165" t="s">
        <v>79</v>
      </c>
      <c r="I6" s="165" t="s">
        <v>135</v>
      </c>
      <c r="J6" s="166" t="s">
        <v>136</v>
      </c>
    </row>
    <row r="7" spans="1:10" ht="15">
      <c r="A7" s="167"/>
      <c r="B7" s="143"/>
      <c r="C7" s="143"/>
      <c r="D7" s="116"/>
      <c r="E7" s="116"/>
      <c r="F7" s="142"/>
      <c r="G7" s="116"/>
      <c r="H7" s="116"/>
      <c r="I7" s="123"/>
      <c r="J7" s="117"/>
    </row>
    <row r="8" spans="1:10" ht="15">
      <c r="A8" s="167"/>
      <c r="B8" s="143"/>
      <c r="C8" s="143"/>
      <c r="D8" s="116"/>
      <c r="E8" s="116"/>
      <c r="F8" s="142"/>
      <c r="G8" s="116"/>
      <c r="H8" s="116"/>
      <c r="I8" s="123"/>
      <c r="J8" s="117"/>
    </row>
    <row r="9" spans="1:10" ht="15">
      <c r="A9" s="167"/>
      <c r="B9" s="143"/>
      <c r="C9" s="143"/>
      <c r="D9" s="116"/>
      <c r="E9" s="116"/>
      <c r="F9" s="142"/>
      <c r="G9" s="116"/>
      <c r="H9" s="116"/>
      <c r="I9" s="123"/>
      <c r="J9" s="117"/>
    </row>
    <row r="10" spans="1:12" ht="18">
      <c r="A10" s="167"/>
      <c r="B10" s="143"/>
      <c r="C10" s="143"/>
      <c r="D10" s="116"/>
      <c r="E10" s="116"/>
      <c r="F10" s="142"/>
      <c r="G10" s="116"/>
      <c r="H10" s="116"/>
      <c r="I10" s="123"/>
      <c r="J10" s="117"/>
      <c r="L10" s="100" t="s">
        <v>40</v>
      </c>
    </row>
    <row r="11" spans="1:12" ht="18">
      <c r="A11" s="167"/>
      <c r="B11" s="143"/>
      <c r="C11" s="143"/>
      <c r="D11" s="116"/>
      <c r="E11" s="116"/>
      <c r="F11" s="142"/>
      <c r="G11" s="116"/>
      <c r="H11" s="116"/>
      <c r="I11" s="123"/>
      <c r="J11" s="117"/>
      <c r="L11" s="101" t="s">
        <v>46</v>
      </c>
    </row>
    <row r="12" spans="1:12" s="102" customFormat="1" ht="18">
      <c r="A12" s="167"/>
      <c r="B12" s="143"/>
      <c r="C12" s="143"/>
      <c r="D12" s="116"/>
      <c r="E12" s="116"/>
      <c r="F12" s="142"/>
      <c r="G12" s="116"/>
      <c r="H12" s="116"/>
      <c r="I12" s="123"/>
      <c r="J12" s="117"/>
      <c r="L12" s="87"/>
    </row>
    <row r="13" spans="1:12" s="102" customFormat="1" ht="18">
      <c r="A13" s="167"/>
      <c r="B13" s="143"/>
      <c r="C13" s="143"/>
      <c r="D13" s="116"/>
      <c r="E13" s="116"/>
      <c r="F13" s="142"/>
      <c r="G13" s="116"/>
      <c r="H13" s="116"/>
      <c r="I13" s="123"/>
      <c r="J13" s="117"/>
      <c r="L13" s="87"/>
    </row>
    <row r="14" spans="1:12" s="102" customFormat="1" ht="18">
      <c r="A14" s="167"/>
      <c r="B14" s="143"/>
      <c r="C14" s="143"/>
      <c r="D14" s="116"/>
      <c r="E14" s="116"/>
      <c r="F14" s="142"/>
      <c r="G14" s="116"/>
      <c r="H14" s="116"/>
      <c r="I14" s="123"/>
      <c r="J14" s="117"/>
      <c r="L14" s="87"/>
    </row>
    <row r="15" spans="1:12" s="102" customFormat="1" ht="18">
      <c r="A15" s="167"/>
      <c r="B15" s="143"/>
      <c r="C15" s="143"/>
      <c r="D15" s="116"/>
      <c r="E15" s="116"/>
      <c r="F15" s="142"/>
      <c r="G15" s="116"/>
      <c r="H15" s="116"/>
      <c r="I15" s="123"/>
      <c r="J15" s="117"/>
      <c r="L15" s="87"/>
    </row>
    <row r="16" spans="1:12" s="102" customFormat="1" ht="18">
      <c r="A16" s="167"/>
      <c r="B16" s="143"/>
      <c r="C16" s="143"/>
      <c r="D16" s="116"/>
      <c r="E16" s="116"/>
      <c r="F16" s="142"/>
      <c r="G16" s="116"/>
      <c r="H16" s="116"/>
      <c r="I16" s="123"/>
      <c r="J16" s="117"/>
      <c r="L16" s="87"/>
    </row>
    <row r="17" spans="1:12" s="102" customFormat="1" ht="18">
      <c r="A17" s="167"/>
      <c r="B17" s="143"/>
      <c r="C17" s="143"/>
      <c r="D17" s="116"/>
      <c r="E17" s="116"/>
      <c r="F17" s="142"/>
      <c r="G17" s="116"/>
      <c r="H17" s="116"/>
      <c r="I17" s="123"/>
      <c r="J17" s="117"/>
      <c r="L17" s="87"/>
    </row>
    <row r="18" spans="1:12" s="102" customFormat="1" ht="18">
      <c r="A18" s="167"/>
      <c r="B18" s="143"/>
      <c r="C18" s="143"/>
      <c r="D18" s="116"/>
      <c r="E18" s="116"/>
      <c r="F18" s="142"/>
      <c r="G18" s="116"/>
      <c r="H18" s="116"/>
      <c r="I18" s="123"/>
      <c r="J18" s="117"/>
      <c r="L18" s="87"/>
    </row>
    <row r="19" spans="1:15" s="102" customFormat="1" ht="18">
      <c r="A19" s="167"/>
      <c r="B19" s="143"/>
      <c r="C19" s="143"/>
      <c r="D19" s="116"/>
      <c r="E19" s="116"/>
      <c r="F19" s="142"/>
      <c r="G19" s="116"/>
      <c r="H19" s="116"/>
      <c r="I19" s="123"/>
      <c r="J19" s="117"/>
      <c r="L19" s="87"/>
      <c r="O19" s="102" t="s">
        <v>87</v>
      </c>
    </row>
    <row r="20" spans="1:12" s="102" customFormat="1" ht="18">
      <c r="A20" s="167"/>
      <c r="B20" s="143"/>
      <c r="C20" s="143"/>
      <c r="D20" s="116"/>
      <c r="E20" s="116"/>
      <c r="F20" s="142"/>
      <c r="G20" s="116"/>
      <c r="H20" s="116"/>
      <c r="I20" s="123"/>
      <c r="J20" s="117"/>
      <c r="L20" s="87"/>
    </row>
    <row r="21" spans="1:12" s="102" customFormat="1" ht="18">
      <c r="A21" s="167"/>
      <c r="B21" s="143"/>
      <c r="C21" s="143"/>
      <c r="D21" s="116"/>
      <c r="E21" s="116"/>
      <c r="F21" s="142"/>
      <c r="G21" s="116"/>
      <c r="H21" s="116"/>
      <c r="I21" s="123"/>
      <c r="J21" s="117"/>
      <c r="L21" s="87"/>
    </row>
    <row r="22" spans="1:12" s="102" customFormat="1" ht="18">
      <c r="A22" s="167"/>
      <c r="B22" s="143"/>
      <c r="C22" s="143"/>
      <c r="D22" s="116"/>
      <c r="E22" s="116"/>
      <c r="F22" s="142"/>
      <c r="G22" s="116"/>
      <c r="H22" s="116"/>
      <c r="I22" s="123"/>
      <c r="J22" s="117"/>
      <c r="L22" s="87"/>
    </row>
    <row r="23" spans="1:12" s="102" customFormat="1" ht="18">
      <c r="A23" s="167"/>
      <c r="B23" s="143"/>
      <c r="C23" s="143"/>
      <c r="D23" s="116"/>
      <c r="E23" s="116"/>
      <c r="F23" s="142"/>
      <c r="G23" s="116"/>
      <c r="H23" s="123"/>
      <c r="I23" s="123"/>
      <c r="J23" s="117"/>
      <c r="L23" s="87"/>
    </row>
    <row r="24" spans="1:12" s="102" customFormat="1" ht="18">
      <c r="A24" s="167"/>
      <c r="B24" s="143"/>
      <c r="C24" s="143"/>
      <c r="D24" s="116"/>
      <c r="E24" s="116"/>
      <c r="F24" s="142"/>
      <c r="G24" s="116"/>
      <c r="H24" s="116"/>
      <c r="I24" s="123"/>
      <c r="J24" s="117"/>
      <c r="L24" s="87"/>
    </row>
    <row r="25" spans="1:12" s="102" customFormat="1" ht="18">
      <c r="A25" s="167"/>
      <c r="B25" s="143"/>
      <c r="C25" s="143"/>
      <c r="D25" s="116"/>
      <c r="E25" s="116"/>
      <c r="F25" s="142"/>
      <c r="G25" s="116"/>
      <c r="H25" s="116"/>
      <c r="I25" s="123"/>
      <c r="J25" s="117"/>
      <c r="L25" s="87"/>
    </row>
    <row r="26" spans="1:12" s="102" customFormat="1" ht="18">
      <c r="A26" s="167"/>
      <c r="B26" s="143"/>
      <c r="C26" s="143"/>
      <c r="D26" s="116"/>
      <c r="E26" s="116"/>
      <c r="F26" s="142"/>
      <c r="G26" s="116"/>
      <c r="H26" s="116"/>
      <c r="I26" s="123"/>
      <c r="J26" s="117"/>
      <c r="L26" s="87"/>
    </row>
    <row r="27" spans="1:12" s="102" customFormat="1" ht="18">
      <c r="A27" s="167"/>
      <c r="B27" s="145"/>
      <c r="C27" s="145"/>
      <c r="D27" s="116"/>
      <c r="E27" s="116"/>
      <c r="F27" s="116"/>
      <c r="G27" s="116"/>
      <c r="H27" s="116"/>
      <c r="I27" s="123"/>
      <c r="J27" s="117"/>
      <c r="L27" s="87"/>
    </row>
    <row r="28" spans="1:12" s="102" customFormat="1" ht="18">
      <c r="A28" s="167"/>
      <c r="B28" s="143"/>
      <c r="C28" s="143"/>
      <c r="D28" s="116"/>
      <c r="E28" s="116"/>
      <c r="F28" s="142"/>
      <c r="G28" s="116"/>
      <c r="H28" s="116"/>
      <c r="I28" s="141"/>
      <c r="J28" s="117"/>
      <c r="L28" s="87"/>
    </row>
    <row r="29" spans="1:12" s="102" customFormat="1" ht="18">
      <c r="A29" s="167"/>
      <c r="B29" s="143"/>
      <c r="C29" s="143"/>
      <c r="D29" s="116"/>
      <c r="E29" s="116"/>
      <c r="F29" s="142"/>
      <c r="G29" s="116"/>
      <c r="H29" s="116"/>
      <c r="I29" s="123"/>
      <c r="J29" s="117"/>
      <c r="L29" s="87"/>
    </row>
    <row r="30" spans="1:12" s="102" customFormat="1" ht="18.75" thickBot="1">
      <c r="A30" s="168"/>
      <c r="B30" s="169"/>
      <c r="C30" s="169"/>
      <c r="D30" s="170"/>
      <c r="E30" s="170"/>
      <c r="F30" s="171"/>
      <c r="G30" s="170"/>
      <c r="H30" s="170"/>
      <c r="I30" s="172"/>
      <c r="J30" s="146"/>
      <c r="L30" s="87"/>
    </row>
    <row r="31" spans="1:12" s="102" customFormat="1" ht="18">
      <c r="A31" s="313"/>
      <c r="B31" s="314"/>
      <c r="C31" s="314"/>
      <c r="D31" s="314"/>
      <c r="E31" s="314"/>
      <c r="F31" s="314"/>
      <c r="G31" s="314"/>
      <c r="H31" s="314"/>
      <c r="I31" s="314"/>
      <c r="J31" s="315"/>
      <c r="L31" s="87"/>
    </row>
    <row r="32" spans="1:12" s="102" customFormat="1" ht="18">
      <c r="A32" s="316" t="s">
        <v>137</v>
      </c>
      <c r="B32" s="317"/>
      <c r="C32" s="317"/>
      <c r="D32" s="317"/>
      <c r="E32" s="317"/>
      <c r="F32" s="317"/>
      <c r="G32" s="317"/>
      <c r="H32" s="317"/>
      <c r="I32" s="317"/>
      <c r="J32" s="318"/>
      <c r="L32" s="87"/>
    </row>
    <row r="33" spans="1:12" s="102" customFormat="1" ht="18">
      <c r="A33" s="173" t="s">
        <v>138</v>
      </c>
      <c r="B33" s="310"/>
      <c r="C33" s="311"/>
      <c r="D33" s="174" t="s">
        <v>138</v>
      </c>
      <c r="E33" s="175"/>
      <c r="F33" s="297"/>
      <c r="G33" s="289"/>
      <c r="H33" s="289"/>
      <c r="I33" s="289"/>
      <c r="J33" s="290"/>
      <c r="L33" s="87"/>
    </row>
    <row r="34" spans="1:12" s="102" customFormat="1" ht="18">
      <c r="A34" s="173" t="s">
        <v>139</v>
      </c>
      <c r="B34" s="297"/>
      <c r="C34" s="312"/>
      <c r="D34" s="298" t="s">
        <v>139</v>
      </c>
      <c r="E34" s="299"/>
      <c r="F34" s="297"/>
      <c r="G34" s="289"/>
      <c r="H34" s="289"/>
      <c r="I34" s="289"/>
      <c r="J34" s="290"/>
      <c r="L34" s="87"/>
    </row>
    <row r="35" spans="1:12" s="102" customFormat="1" ht="18">
      <c r="A35" s="300"/>
      <c r="B35" s="301"/>
      <c r="C35" s="302"/>
      <c r="D35" s="288"/>
      <c r="E35" s="289"/>
      <c r="F35" s="289"/>
      <c r="G35" s="289"/>
      <c r="H35" s="289"/>
      <c r="I35" s="289"/>
      <c r="J35" s="290"/>
      <c r="L35" s="87"/>
    </row>
    <row r="36" spans="1:12" s="102" customFormat="1" ht="18">
      <c r="A36" s="285"/>
      <c r="B36" s="286"/>
      <c r="C36" s="287"/>
      <c r="D36" s="304"/>
      <c r="E36" s="305"/>
      <c r="F36" s="305"/>
      <c r="G36" s="305"/>
      <c r="H36" s="305"/>
      <c r="I36" s="305"/>
      <c r="J36" s="306"/>
      <c r="L36" s="87"/>
    </row>
    <row r="37" spans="1:12" s="102" customFormat="1" ht="18">
      <c r="A37" s="285"/>
      <c r="B37" s="286"/>
      <c r="C37" s="287"/>
      <c r="D37" s="174" t="s">
        <v>138</v>
      </c>
      <c r="E37" s="175"/>
      <c r="F37" s="297"/>
      <c r="G37" s="289"/>
      <c r="H37" s="289"/>
      <c r="I37" s="289"/>
      <c r="J37" s="290"/>
      <c r="L37" s="87"/>
    </row>
    <row r="38" spans="1:12" s="102" customFormat="1" ht="18">
      <c r="A38" s="285"/>
      <c r="B38" s="286"/>
      <c r="C38" s="287"/>
      <c r="D38" s="298" t="s">
        <v>139</v>
      </c>
      <c r="E38" s="299"/>
      <c r="F38" s="297"/>
      <c r="G38" s="289"/>
      <c r="H38" s="289"/>
      <c r="I38" s="289"/>
      <c r="J38" s="290"/>
      <c r="L38" s="87"/>
    </row>
    <row r="39" spans="1:12" s="102" customFormat="1" ht="18">
      <c r="A39" s="285"/>
      <c r="B39" s="286"/>
      <c r="C39" s="287"/>
      <c r="D39" s="288"/>
      <c r="E39" s="289"/>
      <c r="F39" s="289"/>
      <c r="G39" s="289"/>
      <c r="H39" s="289"/>
      <c r="I39" s="289"/>
      <c r="J39" s="290"/>
      <c r="L39" s="87"/>
    </row>
    <row r="40" spans="1:12" s="102" customFormat="1" ht="18">
      <c r="A40" s="307"/>
      <c r="B40" s="308"/>
      <c r="C40" s="309"/>
      <c r="D40" s="304"/>
      <c r="E40" s="305"/>
      <c r="F40" s="305"/>
      <c r="G40" s="305"/>
      <c r="H40" s="305"/>
      <c r="I40" s="305"/>
      <c r="J40" s="306"/>
      <c r="L40" s="87"/>
    </row>
    <row r="41" spans="1:12" s="102" customFormat="1" ht="18">
      <c r="A41" s="173" t="s">
        <v>138</v>
      </c>
      <c r="B41" s="310"/>
      <c r="C41" s="311"/>
      <c r="D41" s="174" t="s">
        <v>138</v>
      </c>
      <c r="E41" s="175"/>
      <c r="F41" s="176"/>
      <c r="G41" s="177"/>
      <c r="H41" s="177"/>
      <c r="I41" s="178"/>
      <c r="J41" s="179"/>
      <c r="L41" s="87"/>
    </row>
    <row r="42" spans="1:12" s="102" customFormat="1" ht="18">
      <c r="A42" s="173" t="s">
        <v>139</v>
      </c>
      <c r="B42" s="297"/>
      <c r="C42" s="312"/>
      <c r="D42" s="298" t="s">
        <v>139</v>
      </c>
      <c r="E42" s="299"/>
      <c r="F42" s="297"/>
      <c r="G42" s="303"/>
      <c r="H42" s="303"/>
      <c r="I42" s="303"/>
      <c r="J42" s="290"/>
      <c r="L42" s="87"/>
    </row>
    <row r="43" spans="1:12" s="102" customFormat="1" ht="18">
      <c r="A43" s="300"/>
      <c r="B43" s="301"/>
      <c r="C43" s="302"/>
      <c r="D43" s="288"/>
      <c r="E43" s="289"/>
      <c r="F43" s="303"/>
      <c r="G43" s="303"/>
      <c r="H43" s="303"/>
      <c r="I43" s="303"/>
      <c r="J43" s="290"/>
      <c r="L43" s="87"/>
    </row>
    <row r="44" spans="1:12" s="102" customFormat="1" ht="18">
      <c r="A44" s="285"/>
      <c r="B44" s="286"/>
      <c r="C44" s="287"/>
      <c r="D44" s="304"/>
      <c r="E44" s="305"/>
      <c r="F44" s="305"/>
      <c r="G44" s="305"/>
      <c r="H44" s="305"/>
      <c r="I44" s="305"/>
      <c r="J44" s="306"/>
      <c r="L44" s="87"/>
    </row>
    <row r="45" spans="1:12" s="102" customFormat="1" ht="18">
      <c r="A45" s="285"/>
      <c r="B45" s="286"/>
      <c r="C45" s="287"/>
      <c r="D45" s="174" t="s">
        <v>138</v>
      </c>
      <c r="E45" s="175"/>
      <c r="F45" s="297"/>
      <c r="G45" s="289"/>
      <c r="H45" s="289"/>
      <c r="I45" s="289"/>
      <c r="J45" s="290"/>
      <c r="L45" s="87"/>
    </row>
    <row r="46" spans="1:12" s="102" customFormat="1" ht="18">
      <c r="A46" s="285"/>
      <c r="B46" s="286"/>
      <c r="C46" s="287"/>
      <c r="D46" s="298" t="s">
        <v>139</v>
      </c>
      <c r="E46" s="299"/>
      <c r="F46" s="297"/>
      <c r="G46" s="289"/>
      <c r="H46" s="289"/>
      <c r="I46" s="289"/>
      <c r="J46" s="290"/>
      <c r="L46" s="87"/>
    </row>
    <row r="47" spans="1:12" s="102" customFormat="1" ht="18">
      <c r="A47" s="285"/>
      <c r="B47" s="286"/>
      <c r="C47" s="287"/>
      <c r="D47" s="288"/>
      <c r="E47" s="289"/>
      <c r="F47" s="289"/>
      <c r="G47" s="289"/>
      <c r="H47" s="289"/>
      <c r="I47" s="289"/>
      <c r="J47" s="290"/>
      <c r="L47" s="87"/>
    </row>
    <row r="48" spans="1:12" s="102" customFormat="1" ht="18.75" thickBot="1">
      <c r="A48" s="291"/>
      <c r="B48" s="292"/>
      <c r="C48" s="293"/>
      <c r="D48" s="294"/>
      <c r="E48" s="295"/>
      <c r="F48" s="295"/>
      <c r="G48" s="295"/>
      <c r="H48" s="295"/>
      <c r="I48" s="295"/>
      <c r="J48" s="296"/>
      <c r="L48" s="87"/>
    </row>
    <row r="49" spans="1:12" s="102" customFormat="1" ht="18">
      <c r="A49" s="103"/>
      <c r="B49" s="104"/>
      <c r="C49" s="104"/>
      <c r="D49" s="103"/>
      <c r="E49" s="103"/>
      <c r="F49" s="105" t="s">
        <v>81</v>
      </c>
      <c r="G49" s="103"/>
      <c r="H49" s="103"/>
      <c r="I49" s="103"/>
      <c r="J49" s="103"/>
      <c r="L49" s="180">
        <f>SUM(L12:L48)</f>
        <v>0</v>
      </c>
    </row>
    <row r="50" spans="1:12" s="102" customFormat="1" ht="18">
      <c r="A50" s="102" t="s">
        <v>85</v>
      </c>
      <c r="F50" s="105" t="s">
        <v>61</v>
      </c>
      <c r="L50" s="181">
        <f>+'Character Record'!Q53</f>
        <v>0</v>
      </c>
    </row>
    <row r="51" spans="1:12" s="102" customFormat="1" ht="18">
      <c r="A51" s="102" t="s">
        <v>86</v>
      </c>
      <c r="F51" s="105" t="s">
        <v>82</v>
      </c>
      <c r="L51" s="182">
        <f>+L49*L50</f>
        <v>0</v>
      </c>
    </row>
    <row r="52" ht="18">
      <c r="L52" s="183"/>
    </row>
    <row r="53" spans="6:12" ht="18">
      <c r="F53" s="106" t="s">
        <v>83</v>
      </c>
      <c r="L53" s="183">
        <f>+'Character Record'!U53</f>
        <v>0</v>
      </c>
    </row>
    <row r="54" spans="6:12" ht="18.75" thickBot="1">
      <c r="F54" s="106" t="s">
        <v>66</v>
      </c>
      <c r="L54" s="184">
        <f>+L51+L53</f>
        <v>0</v>
      </c>
    </row>
    <row r="55" ht="15.75" thickTop="1"/>
  </sheetData>
  <mergeCells count="41">
    <mergeCell ref="E2:G2"/>
    <mergeCell ref="H2:J2"/>
    <mergeCell ref="A4:J4"/>
    <mergeCell ref="A5:J5"/>
    <mergeCell ref="A31:J31"/>
    <mergeCell ref="A32:J32"/>
    <mergeCell ref="B33:C33"/>
    <mergeCell ref="F33:J33"/>
    <mergeCell ref="B34:C34"/>
    <mergeCell ref="D34:E34"/>
    <mergeCell ref="F34:J34"/>
    <mergeCell ref="A35:C35"/>
    <mergeCell ref="D35:J35"/>
    <mergeCell ref="A36:C36"/>
    <mergeCell ref="D36:J36"/>
    <mergeCell ref="A37:C37"/>
    <mergeCell ref="F37:J37"/>
    <mergeCell ref="A38:C38"/>
    <mergeCell ref="D38:E38"/>
    <mergeCell ref="F38:J38"/>
    <mergeCell ref="A39:C39"/>
    <mergeCell ref="D39:J39"/>
    <mergeCell ref="A40:C40"/>
    <mergeCell ref="D40:J40"/>
    <mergeCell ref="B41:C41"/>
    <mergeCell ref="B42:C42"/>
    <mergeCell ref="D42:E42"/>
    <mergeCell ref="F42:J42"/>
    <mergeCell ref="A43:C43"/>
    <mergeCell ref="D43:J43"/>
    <mergeCell ref="A44:C44"/>
    <mergeCell ref="D44:J44"/>
    <mergeCell ref="A45:C45"/>
    <mergeCell ref="F45:J45"/>
    <mergeCell ref="A46:C46"/>
    <mergeCell ref="D46:E46"/>
    <mergeCell ref="F46:J46"/>
    <mergeCell ref="A47:C47"/>
    <mergeCell ref="D47:J47"/>
    <mergeCell ref="A48:C48"/>
    <mergeCell ref="D48:J48"/>
  </mergeCells>
  <printOptions/>
  <pageMargins left="0.5" right="0.3" top="0.3" bottom="0.3" header="0.5" footer="0.5"/>
  <pageSetup fitToHeight="1" fitToWidth="1" horizontalDpi="300" verticalDpi="3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Cody Mills</cp:lastModifiedBy>
  <cp:lastPrinted>2004-07-21T19:40:14Z</cp:lastPrinted>
  <dcterms:created xsi:type="dcterms:W3CDTF">1998-04-22T03:04:46Z</dcterms:created>
  <dcterms:modified xsi:type="dcterms:W3CDTF">2008-03-25T15:34:01Z</dcterms:modified>
  <cp:category/>
  <cp:version/>
  <cp:contentType/>
  <cp:contentStatus/>
</cp:coreProperties>
</file>